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500" yWindow="-15" windowWidth="10545" windowHeight="12120" tabRatio="604"/>
  </bookViews>
  <sheets>
    <sheet name="Stm. of Activities" sheetId="5" r:id="rId1"/>
    <sheet name="Gen Rev" sheetId="1" r:id="rId2"/>
    <sheet name="Gen Exp" sheetId="2" r:id="rId3"/>
    <sheet name="Gov Rev" sheetId="4" r:id="rId4"/>
    <sheet name="Gov Exp" sheetId="3" r:id="rId5"/>
    <sheet name="Stm. of Net Assets" sheetId="6" r:id="rId6"/>
  </sheets>
  <definedNames>
    <definedName name="_xlnm.Print_Area" localSheetId="2">'Gen Exp'!$B$1:$AF$309</definedName>
    <definedName name="_xlnm.Print_Area" localSheetId="1">'Gen Rev'!$B$1:$AH$310</definedName>
    <definedName name="_xlnm.Print_Area" localSheetId="4">'Gov Exp'!$B$1:$AF$307</definedName>
    <definedName name="_xlnm.Print_Area" localSheetId="3">'Gov Rev'!$B$1:$AH$312</definedName>
    <definedName name="_xlnm.Print_Area" localSheetId="0">'Stm. of Activities'!$A$1:$AI$132</definedName>
  </definedNames>
  <calcPr calcId="125725"/>
</workbook>
</file>

<file path=xl/calcChain.xml><?xml version="1.0" encoding="utf-8"?>
<calcChain xmlns="http://schemas.openxmlformats.org/spreadsheetml/2006/main">
  <c r="AF87" i="3"/>
  <c r="AF86"/>
  <c r="H299"/>
  <c r="H264"/>
  <c r="H263"/>
  <c r="H254"/>
  <c r="H248"/>
  <c r="H233"/>
  <c r="H211"/>
  <c r="H210"/>
  <c r="H196"/>
  <c r="H175"/>
  <c r="H159"/>
  <c r="H152"/>
  <c r="H139"/>
  <c r="H98"/>
  <c r="H85"/>
  <c r="H76"/>
  <c r="H62"/>
  <c r="H301" i="2"/>
  <c r="H266"/>
  <c r="H265"/>
  <c r="H256"/>
  <c r="H241"/>
  <c r="H235"/>
  <c r="H212"/>
  <c r="H198"/>
  <c r="H177"/>
  <c r="H161"/>
  <c r="H154"/>
  <c r="H141"/>
  <c r="H100"/>
  <c r="H85"/>
  <c r="H76"/>
  <c r="H62"/>
  <c r="AF8"/>
  <c r="AF160" i="3"/>
  <c r="AF305"/>
  <c r="AF296"/>
  <c r="AF256"/>
  <c r="H227"/>
  <c r="AF227" s="1"/>
  <c r="H226"/>
  <c r="AF226" s="1"/>
  <c r="AF218"/>
  <c r="AF215"/>
  <c r="AF212"/>
  <c r="AF188"/>
  <c r="AF182"/>
  <c r="AF140"/>
  <c r="AF136"/>
  <c r="AF131"/>
  <c r="AF119"/>
  <c r="AF114"/>
  <c r="AF99"/>
  <c r="AF40"/>
  <c r="H26"/>
  <c r="AF26" s="1"/>
  <c r="AF24"/>
  <c r="AF23"/>
  <c r="AF303" l="1"/>
  <c r="AF302"/>
  <c r="AF300"/>
  <c r="AF298"/>
  <c r="AF295"/>
  <c r="AF293"/>
  <c r="AF292"/>
  <c r="AF291"/>
  <c r="AF289"/>
  <c r="AF284"/>
  <c r="AF276"/>
  <c r="AF272"/>
  <c r="AF271"/>
  <c r="AF269"/>
  <c r="AF266"/>
  <c r="H267"/>
  <c r="AF267" s="1"/>
  <c r="AF262"/>
  <c r="AF261"/>
  <c r="AF257"/>
  <c r="AF252"/>
  <c r="AF251"/>
  <c r="H250"/>
  <c r="AF250" s="1"/>
  <c r="AF249"/>
  <c r="AF246"/>
  <c r="AF236"/>
  <c r="AF235"/>
  <c r="AF228"/>
  <c r="AF224"/>
  <c r="AF223"/>
  <c r="AF221"/>
  <c r="AF220"/>
  <c r="AF219"/>
  <c r="AF217"/>
  <c r="AF208"/>
  <c r="AF207"/>
  <c r="AF205"/>
  <c r="AF204"/>
  <c r="AF203"/>
  <c r="AF201"/>
  <c r="AF198"/>
  <c r="AF194"/>
  <c r="AF195"/>
  <c r="AF190"/>
  <c r="AF189"/>
  <c r="AF187"/>
  <c r="AF186"/>
  <c r="AF184"/>
  <c r="AF180"/>
  <c r="AF178"/>
  <c r="AF176"/>
  <c r="AF174"/>
  <c r="AF173"/>
  <c r="AF172"/>
  <c r="AF171"/>
  <c r="AF157"/>
  <c r="AF149"/>
  <c r="AF148"/>
  <c r="AF147"/>
  <c r="AF146"/>
  <c r="AF143"/>
  <c r="AF142"/>
  <c r="AF141"/>
  <c r="AF138"/>
  <c r="AF137"/>
  <c r="AF134"/>
  <c r="AF133"/>
  <c r="AF130"/>
  <c r="AF129"/>
  <c r="AF127"/>
  <c r="AF126"/>
  <c r="AF124"/>
  <c r="AF121"/>
  <c r="AF115"/>
  <c r="AF113"/>
  <c r="AF112"/>
  <c r="AF111"/>
  <c r="AF108"/>
  <c r="AF107"/>
  <c r="AF105"/>
  <c r="AF103"/>
  <c r="AF95"/>
  <c r="AF84"/>
  <c r="AF81"/>
  <c r="AF80"/>
  <c r="AF74"/>
  <c r="AF71"/>
  <c r="AF69"/>
  <c r="AF68"/>
  <c r="AF67"/>
  <c r="AF63"/>
  <c r="AF60"/>
  <c r="AF59"/>
  <c r="AF57"/>
  <c r="AF54"/>
  <c r="AF53"/>
  <c r="AF52"/>
  <c r="AF49"/>
  <c r="AF46"/>
  <c r="AF45"/>
  <c r="AF44"/>
  <c r="AF43"/>
  <c r="AF36"/>
  <c r="F34"/>
  <c r="AF34" s="1"/>
  <c r="AF32"/>
  <c r="AF31"/>
  <c r="AF30"/>
  <c r="AF28"/>
  <c r="AF27"/>
  <c r="AF22"/>
  <c r="AF20"/>
  <c r="AF19"/>
  <c r="AF21"/>
  <c r="AH311" i="4"/>
  <c r="AH302"/>
  <c r="AH262"/>
  <c r="AH232"/>
  <c r="AH231"/>
  <c r="AH223"/>
  <c r="AH220"/>
  <c r="AH217"/>
  <c r="AH193"/>
  <c r="AH187"/>
  <c r="AH144"/>
  <c r="AH140"/>
  <c r="AH135"/>
  <c r="AH123"/>
  <c r="AH118"/>
  <c r="AH103"/>
  <c r="AH97"/>
  <c r="AH41"/>
  <c r="AH27"/>
  <c r="AH25"/>
  <c r="AH309" l="1"/>
  <c r="AH308"/>
  <c r="AH306"/>
  <c r="AH304"/>
  <c r="AH301"/>
  <c r="AH299"/>
  <c r="AH298"/>
  <c r="AH297"/>
  <c r="AH295"/>
  <c r="AH290"/>
  <c r="AH282"/>
  <c r="AH278"/>
  <c r="AH277"/>
  <c r="AH275"/>
  <c r="AH272"/>
  <c r="AH273"/>
  <c r="AH268"/>
  <c r="AH267"/>
  <c r="AH263"/>
  <c r="AH258"/>
  <c r="AH257"/>
  <c r="AH256"/>
  <c r="AH255"/>
  <c r="AH242"/>
  <c r="AH241"/>
  <c r="AH240"/>
  <c r="AH233"/>
  <c r="AH229"/>
  <c r="AH227"/>
  <c r="AH226"/>
  <c r="AH225"/>
  <c r="AH224"/>
  <c r="AH222"/>
  <c r="AH213"/>
  <c r="AH212"/>
  <c r="AH210"/>
  <c r="AH209"/>
  <c r="AH208"/>
  <c r="AH206"/>
  <c r="AH203"/>
  <c r="AH199"/>
  <c r="AH200"/>
  <c r="AH195"/>
  <c r="AH194"/>
  <c r="AH192"/>
  <c r="AH191"/>
  <c r="AH189"/>
  <c r="AH185"/>
  <c r="AH183"/>
  <c r="AH181"/>
  <c r="AH179"/>
  <c r="AH178"/>
  <c r="AH177"/>
  <c r="AH176"/>
  <c r="AH164"/>
  <c r="AH161"/>
  <c r="AH153"/>
  <c r="AH152"/>
  <c r="AH151"/>
  <c r="AH150"/>
  <c r="AH147"/>
  <c r="AH146"/>
  <c r="AH145"/>
  <c r="AH142"/>
  <c r="AH141"/>
  <c r="AH138"/>
  <c r="AH137"/>
  <c r="AH134"/>
  <c r="AH133"/>
  <c r="AH131"/>
  <c r="AH130"/>
  <c r="AH128"/>
  <c r="AH125"/>
  <c r="AH119"/>
  <c r="AH117"/>
  <c r="AH116"/>
  <c r="AH115"/>
  <c r="AH112"/>
  <c r="AH111"/>
  <c r="AH109"/>
  <c r="AH107"/>
  <c r="AH108"/>
  <c r="AH99"/>
  <c r="AH98"/>
  <c r="AH85"/>
  <c r="AH82"/>
  <c r="AH81"/>
  <c r="AH75"/>
  <c r="AH72"/>
  <c r="AH70"/>
  <c r="AH69"/>
  <c r="AH68"/>
  <c r="AH64"/>
  <c r="AH61"/>
  <c r="AH60"/>
  <c r="AH58"/>
  <c r="AH55"/>
  <c r="AH54"/>
  <c r="AH53"/>
  <c r="AH50"/>
  <c r="AH47"/>
  <c r="AH46"/>
  <c r="AH45"/>
  <c r="AH44"/>
  <c r="AH37"/>
  <c r="AH35"/>
  <c r="AH33"/>
  <c r="AH32"/>
  <c r="AH31"/>
  <c r="AH29"/>
  <c r="AH28"/>
  <c r="AH24"/>
  <c r="AH23"/>
  <c r="AH21"/>
  <c r="AH20"/>
  <c r="AF307" i="2"/>
  <c r="AF298"/>
  <c r="AF258"/>
  <c r="AF229"/>
  <c r="AF228"/>
  <c r="AF220"/>
  <c r="AF217"/>
  <c r="AF214"/>
  <c r="AF190"/>
  <c r="AF184"/>
  <c r="AF142"/>
  <c r="AF138"/>
  <c r="AF133"/>
  <c r="AF121"/>
  <c r="AF116"/>
  <c r="AF101"/>
  <c r="AF86"/>
  <c r="AF40"/>
  <c r="AF26"/>
  <c r="AF24"/>
  <c r="AF305" l="1"/>
  <c r="AF304"/>
  <c r="AF302"/>
  <c r="AF300"/>
  <c r="AF297"/>
  <c r="AF295"/>
  <c r="AF294"/>
  <c r="AF293"/>
  <c r="AF291"/>
  <c r="AF286"/>
  <c r="AF278"/>
  <c r="AF274"/>
  <c r="AF273"/>
  <c r="AF271"/>
  <c r="AF268"/>
  <c r="AF269"/>
  <c r="AF264"/>
  <c r="AF263"/>
  <c r="AF259"/>
  <c r="AF245"/>
  <c r="AF244"/>
  <c r="AF243"/>
  <c r="AF242"/>
  <c r="AF239"/>
  <c r="AF238"/>
  <c r="AF237"/>
  <c r="AF230"/>
  <c r="AF226"/>
  <c r="AF224"/>
  <c r="AF223"/>
  <c r="AF222"/>
  <c r="AF221"/>
  <c r="AF219"/>
  <c r="AF210"/>
  <c r="AF209"/>
  <c r="AF207"/>
  <c r="AF206"/>
  <c r="AF205"/>
  <c r="AF203"/>
  <c r="AF200"/>
  <c r="AF196"/>
  <c r="AF197"/>
  <c r="AF192"/>
  <c r="AF191"/>
  <c r="AF189"/>
  <c r="AF188"/>
  <c r="AF186"/>
  <c r="AF182"/>
  <c r="AF180"/>
  <c r="AF178"/>
  <c r="AF167"/>
  <c r="AF166"/>
  <c r="AF165"/>
  <c r="AF164"/>
  <c r="AF162"/>
  <c r="AF159"/>
  <c r="AF151"/>
  <c r="AF150"/>
  <c r="AF149"/>
  <c r="AF148"/>
  <c r="AF145"/>
  <c r="AF144"/>
  <c r="AF143"/>
  <c r="AF140"/>
  <c r="AF139"/>
  <c r="AF136"/>
  <c r="AF135"/>
  <c r="AF132"/>
  <c r="AF131"/>
  <c r="AF129"/>
  <c r="AF128"/>
  <c r="AF126"/>
  <c r="AF123"/>
  <c r="AF117"/>
  <c r="AF115"/>
  <c r="AF114"/>
  <c r="AF113"/>
  <c r="AF110"/>
  <c r="AF109"/>
  <c r="AF107"/>
  <c r="AF105"/>
  <c r="AF106"/>
  <c r="AF97"/>
  <c r="AF87"/>
  <c r="AF84"/>
  <c r="AF81"/>
  <c r="AF80"/>
  <c r="AF74"/>
  <c r="AF71"/>
  <c r="AF69"/>
  <c r="AF68"/>
  <c r="AF67"/>
  <c r="AF63"/>
  <c r="AF60"/>
  <c r="AF59"/>
  <c r="AF57"/>
  <c r="AF54"/>
  <c r="AF53"/>
  <c r="AF52"/>
  <c r="AF49"/>
  <c r="AF46"/>
  <c r="AF45"/>
  <c r="AF44"/>
  <c r="AF43"/>
  <c r="AF36"/>
  <c r="AF34"/>
  <c r="AF32"/>
  <c r="AF31"/>
  <c r="AF30"/>
  <c r="AF28"/>
  <c r="AF27"/>
  <c r="AF23"/>
  <c r="AF22"/>
  <c r="AF20"/>
  <c r="AF19"/>
  <c r="AH308" i="1"/>
  <c r="AH299"/>
  <c r="AH259"/>
  <c r="AH230"/>
  <c r="AH229"/>
  <c r="AH221"/>
  <c r="AH218"/>
  <c r="AH215"/>
  <c r="AH191"/>
  <c r="AH185"/>
  <c r="AH143"/>
  <c r="AH139"/>
  <c r="AH133"/>
  <c r="AH121"/>
  <c r="AH116"/>
  <c r="AH101"/>
  <c r="AH86"/>
  <c r="AH40"/>
  <c r="AH26"/>
  <c r="AH24"/>
  <c r="AH20"/>
  <c r="AH306"/>
  <c r="AH305"/>
  <c r="AH303"/>
  <c r="AH301"/>
  <c r="AH298"/>
  <c r="AH296"/>
  <c r="AH295"/>
  <c r="AH294"/>
  <c r="AH292"/>
  <c r="AH287"/>
  <c r="AH279"/>
  <c r="AH275"/>
  <c r="AH274"/>
  <c r="AH272"/>
  <c r="AH269"/>
  <c r="AH270"/>
  <c r="AH265"/>
  <c r="AH264"/>
  <c r="AH260"/>
  <c r="AH255"/>
  <c r="AH254"/>
  <c r="AH253"/>
  <c r="AH252"/>
  <c r="AH240"/>
  <c r="AH239"/>
  <c r="AH238"/>
  <c r="AH231"/>
  <c r="AH227"/>
  <c r="AH225"/>
  <c r="AH224"/>
  <c r="AH223"/>
  <c r="AH222"/>
  <c r="AH220"/>
  <c r="AH211"/>
  <c r="AH210"/>
  <c r="AH208"/>
  <c r="AH207"/>
  <c r="AH206"/>
  <c r="AH204"/>
  <c r="AH201"/>
  <c r="AH197"/>
  <c r="AH198"/>
  <c r="AH193"/>
  <c r="AH192"/>
  <c r="AH190"/>
  <c r="AH189"/>
  <c r="AH187"/>
  <c r="AH183"/>
  <c r="AH181"/>
  <c r="AH179"/>
  <c r="AH177"/>
  <c r="AH176"/>
  <c r="AH175"/>
  <c r="AH165"/>
  <c r="AH163"/>
  <c r="AH160"/>
  <c r="AH152"/>
  <c r="AH151"/>
  <c r="AH150"/>
  <c r="AH149"/>
  <c r="AH146"/>
  <c r="AH145"/>
  <c r="AH144"/>
  <c r="AH141"/>
  <c r="AH140"/>
  <c r="AH136"/>
  <c r="AH135"/>
  <c r="AH132"/>
  <c r="AH131"/>
  <c r="AH129"/>
  <c r="AH128"/>
  <c r="AH126"/>
  <c r="AH123"/>
  <c r="AH117"/>
  <c r="AH115"/>
  <c r="AH114"/>
  <c r="AH113"/>
  <c r="AH110"/>
  <c r="AH109"/>
  <c r="AH107"/>
  <c r="AH105"/>
  <c r="AH97"/>
  <c r="AH87"/>
  <c r="AH84"/>
  <c r="AH81"/>
  <c r="AH80"/>
  <c r="AH74"/>
  <c r="AH71"/>
  <c r="AH69"/>
  <c r="AH68"/>
  <c r="AH67"/>
  <c r="AH63"/>
  <c r="AH60"/>
  <c r="AH59"/>
  <c r="AH57"/>
  <c r="AH54"/>
  <c r="AH53"/>
  <c r="AH52"/>
  <c r="AH49"/>
  <c r="AH46"/>
  <c r="AH45"/>
  <c r="AH44"/>
  <c r="AH43"/>
  <c r="AH36"/>
  <c r="AH34"/>
  <c r="AH32"/>
  <c r="AH31"/>
  <c r="AH30"/>
  <c r="AH28"/>
  <c r="AH27"/>
  <c r="AH23"/>
  <c r="AH22"/>
  <c r="AH19"/>
  <c r="AC84" i="5" l="1"/>
  <c r="AC56"/>
  <c r="AC76"/>
  <c r="AC130"/>
  <c r="AC90"/>
  <c r="AC51"/>
  <c r="AC126"/>
  <c r="AC88"/>
  <c r="AC89"/>
  <c r="AC53"/>
  <c r="AC14"/>
  <c r="W81"/>
  <c r="AC81" s="1"/>
  <c r="AC114" l="1"/>
  <c r="AC100"/>
  <c r="AC97"/>
  <c r="AC96"/>
  <c r="AC95"/>
  <c r="AC87"/>
  <c r="AC86"/>
  <c r="AC85"/>
  <c r="AC71"/>
  <c r="AC70"/>
  <c r="AC68"/>
  <c r="AC67"/>
  <c r="AC59"/>
  <c r="AC58"/>
  <c r="AC57"/>
  <c r="AC55"/>
  <c r="AC54"/>
  <c r="AC49"/>
  <c r="AC48"/>
  <c r="AC47"/>
  <c r="AC38"/>
  <c r="AC36"/>
  <c r="AC31"/>
  <c r="AC30"/>
  <c r="AC25"/>
  <c r="AC23"/>
  <c r="AC21"/>
  <c r="AC20"/>
  <c r="AC19"/>
  <c r="AC16"/>
  <c r="H118" i="3" l="1"/>
  <c r="H120" i="2"/>
  <c r="J122" i="4"/>
  <c r="J120" i="1"/>
  <c r="AC51" i="6"/>
  <c r="AA51"/>
  <c r="U51"/>
  <c r="K51"/>
  <c r="E51"/>
  <c r="AC43"/>
  <c r="AA43"/>
  <c r="U43"/>
  <c r="K43"/>
  <c r="E43"/>
  <c r="O46" i="5"/>
  <c r="W46"/>
  <c r="V100" i="4"/>
  <c r="W45" i="5"/>
  <c r="O45"/>
  <c r="AC42" i="6"/>
  <c r="AA42"/>
  <c r="U42"/>
  <c r="K42"/>
  <c r="E42"/>
  <c r="V79" i="4"/>
  <c r="V78" i="1"/>
  <c r="W42" i="5"/>
  <c r="AC41" i="6"/>
  <c r="AA41"/>
  <c r="U41"/>
  <c r="K41"/>
  <c r="E41"/>
  <c r="AC41" i="5"/>
  <c r="M41"/>
  <c r="AC40" i="6"/>
  <c r="AA40"/>
  <c r="U40"/>
  <c r="K40"/>
  <c r="E40"/>
  <c r="V76" i="4"/>
  <c r="V75" i="1"/>
  <c r="W40" i="5"/>
  <c r="AC40" s="1"/>
  <c r="AC39" i="6"/>
  <c r="AA39"/>
  <c r="U39"/>
  <c r="K39"/>
  <c r="G39"/>
  <c r="E39"/>
  <c r="H73" i="3"/>
  <c r="V67" i="4"/>
  <c r="V66" i="1"/>
  <c r="W35" i="5"/>
  <c r="AC35" s="1"/>
  <c r="AC36" i="6"/>
  <c r="AA36"/>
  <c r="U36"/>
  <c r="K36"/>
  <c r="G36"/>
  <c r="E36"/>
  <c r="AC35"/>
  <c r="AA35"/>
  <c r="U35"/>
  <c r="K35"/>
  <c r="G35"/>
  <c r="E35"/>
  <c r="V65" i="4"/>
  <c r="W33" i="5"/>
  <c r="AC33" s="1"/>
  <c r="AC34" i="6"/>
  <c r="AA34"/>
  <c r="U34"/>
  <c r="K34"/>
  <c r="E34"/>
  <c r="W29" i="5"/>
  <c r="AC29" s="1"/>
  <c r="T48" i="4"/>
  <c r="R48"/>
  <c r="AC26" i="6"/>
  <c r="AA26"/>
  <c r="U26"/>
  <c r="K26"/>
  <c r="E26"/>
  <c r="V38" i="4"/>
  <c r="AH38" s="1"/>
  <c r="AH39"/>
  <c r="O22" i="5"/>
  <c r="O18"/>
  <c r="AC18" s="1"/>
  <c r="AC18" i="6"/>
  <c r="AA18"/>
  <c r="U18"/>
  <c r="K18"/>
  <c r="E18"/>
  <c r="AD22" i="4"/>
  <c r="W15" i="5"/>
  <c r="O15"/>
  <c r="W79"/>
  <c r="T196" i="3"/>
  <c r="W75" i="5"/>
  <c r="AC75" s="1"/>
  <c r="W73"/>
  <c r="O73"/>
  <c r="M73"/>
  <c r="AC130" i="6"/>
  <c r="AA130"/>
  <c r="U130"/>
  <c r="K130"/>
  <c r="E130"/>
  <c r="AD181" i="3"/>
  <c r="X181"/>
  <c r="AD186" i="4"/>
  <c r="J182"/>
  <c r="V163"/>
  <c r="J163"/>
  <c r="V162" i="1"/>
  <c r="J162"/>
  <c r="AH158"/>
  <c r="AF157" i="2"/>
  <c r="AC121" i="6"/>
  <c r="AA121"/>
  <c r="U121"/>
  <c r="K121"/>
  <c r="E121"/>
  <c r="W65" i="5"/>
  <c r="AC65" s="1"/>
  <c r="AC120" i="6"/>
  <c r="AA120"/>
  <c r="U120"/>
  <c r="K120"/>
  <c r="E120"/>
  <c r="R159" i="4"/>
  <c r="V155"/>
  <c r="W61" i="5"/>
  <c r="AC61" s="1"/>
  <c r="AC116" i="6"/>
  <c r="AA116"/>
  <c r="U116"/>
  <c r="K116"/>
  <c r="E116"/>
  <c r="AC112"/>
  <c r="AA112"/>
  <c r="U112"/>
  <c r="K112"/>
  <c r="E112"/>
  <c r="AC143"/>
  <c r="AA143"/>
  <c r="U143"/>
  <c r="K143"/>
  <c r="E143"/>
  <c r="O91" i="5"/>
  <c r="AC91" s="1"/>
  <c r="E91"/>
  <c r="M91" s="1"/>
  <c r="G144" i="6"/>
  <c r="W92" i="5"/>
  <c r="AC92" s="1"/>
  <c r="AC17"/>
  <c r="AC22"/>
  <c r="AC24"/>
  <c r="AC26"/>
  <c r="AC27"/>
  <c r="AC28"/>
  <c r="AC32"/>
  <c r="AC34"/>
  <c r="AC37"/>
  <c r="AC39"/>
  <c r="AC42"/>
  <c r="AC43"/>
  <c r="AC44"/>
  <c r="AC50"/>
  <c r="AC52"/>
  <c r="AC60"/>
  <c r="AC62"/>
  <c r="AC63"/>
  <c r="AC64"/>
  <c r="AC66"/>
  <c r="AC69"/>
  <c r="AC72"/>
  <c r="AC74"/>
  <c r="AC77"/>
  <c r="AC78"/>
  <c r="AC79"/>
  <c r="AC80"/>
  <c r="AC93"/>
  <c r="AC94"/>
  <c r="AC98"/>
  <c r="AC99"/>
  <c r="Y83"/>
  <c r="W83"/>
  <c r="W115"/>
  <c r="G156" i="6"/>
  <c r="AC161"/>
  <c r="AA161"/>
  <c r="U161"/>
  <c r="K161"/>
  <c r="E161"/>
  <c r="O124" i="5"/>
  <c r="W127"/>
  <c r="G166" i="6"/>
  <c r="M115" i="5"/>
  <c r="M116"/>
  <c r="M117"/>
  <c r="M118"/>
  <c r="M119"/>
  <c r="M120"/>
  <c r="M121"/>
  <c r="M122"/>
  <c r="M123"/>
  <c r="M124"/>
  <c r="M125"/>
  <c r="M127"/>
  <c r="M128"/>
  <c r="M129"/>
  <c r="M88"/>
  <c r="M92"/>
  <c r="M93"/>
  <c r="M94"/>
  <c r="M98"/>
  <c r="M99"/>
  <c r="M15"/>
  <c r="M17"/>
  <c r="M18"/>
  <c r="M22"/>
  <c r="M24"/>
  <c r="M26"/>
  <c r="M27"/>
  <c r="M28"/>
  <c r="M29"/>
  <c r="M32"/>
  <c r="M33"/>
  <c r="M34"/>
  <c r="M35"/>
  <c r="M37"/>
  <c r="M39"/>
  <c r="M40"/>
  <c r="M42"/>
  <c r="M43"/>
  <c r="M44"/>
  <c r="M45"/>
  <c r="M46"/>
  <c r="M50"/>
  <c r="M52"/>
  <c r="M53"/>
  <c r="M60"/>
  <c r="M61"/>
  <c r="M62"/>
  <c r="M63"/>
  <c r="M64"/>
  <c r="M65"/>
  <c r="M66"/>
  <c r="M69"/>
  <c r="M72"/>
  <c r="M74"/>
  <c r="M75"/>
  <c r="M77"/>
  <c r="M78"/>
  <c r="M79"/>
  <c r="M80"/>
  <c r="M82"/>
  <c r="M83"/>
  <c r="H294" i="3"/>
  <c r="AH293" i="4"/>
  <c r="T265"/>
  <c r="V238"/>
  <c r="V236" i="1"/>
  <c r="AC138" i="6"/>
  <c r="AA138"/>
  <c r="U138"/>
  <c r="E138"/>
  <c r="AC73" i="5" l="1"/>
  <c r="AC15"/>
  <c r="AC45"/>
  <c r="AC46"/>
  <c r="AE46" s="1"/>
  <c r="AI46" s="1"/>
  <c r="AE73"/>
  <c r="AI73" s="1"/>
  <c r="AE41"/>
  <c r="AI41" s="1"/>
  <c r="AE91"/>
  <c r="AI91" s="1"/>
  <c r="AE98"/>
  <c r="AI98" s="1"/>
  <c r="AE77"/>
  <c r="AI77" s="1"/>
  <c r="AE64"/>
  <c r="AI64" s="1"/>
  <c r="AE52"/>
  <c r="AI52" s="1"/>
  <c r="AE43"/>
  <c r="AI43" s="1"/>
  <c r="AE32"/>
  <c r="AI32" s="1"/>
  <c r="AE24"/>
  <c r="AI24" s="1"/>
  <c r="AE99"/>
  <c r="AI99" s="1"/>
  <c r="AE80"/>
  <c r="AI80" s="1"/>
  <c r="AE78"/>
  <c r="AI78" s="1"/>
  <c r="AE74"/>
  <c r="AI74" s="1"/>
  <c r="AE69"/>
  <c r="AI69" s="1"/>
  <c r="AE50"/>
  <c r="AI50" s="1"/>
  <c r="AE44"/>
  <c r="AI44" s="1"/>
  <c r="AE39"/>
  <c r="AI39" s="1"/>
  <c r="AE37"/>
  <c r="AI37" s="1"/>
  <c r="AE53"/>
  <c r="AI53" s="1"/>
  <c r="AE45"/>
  <c r="AI45" s="1"/>
  <c r="AE42"/>
  <c r="AI42" s="1"/>
  <c r="AE40"/>
  <c r="AI40" s="1"/>
  <c r="AE35"/>
  <c r="AI35" s="1"/>
  <c r="AE34"/>
  <c r="AI34" s="1"/>
  <c r="AE33"/>
  <c r="AI33" s="1"/>
  <c r="AE29"/>
  <c r="AI29" s="1"/>
  <c r="AE28"/>
  <c r="AI28" s="1"/>
  <c r="AE27"/>
  <c r="AI27" s="1"/>
  <c r="AE26"/>
  <c r="AI26" s="1"/>
  <c r="AE22"/>
  <c r="AI22" s="1"/>
  <c r="AE15"/>
  <c r="AI15" s="1"/>
  <c r="AE17"/>
  <c r="AI17" s="1"/>
  <c r="AE18"/>
  <c r="AI18" s="1"/>
  <c r="AE79"/>
  <c r="AI79" s="1"/>
  <c r="AE75"/>
  <c r="AI75" s="1"/>
  <c r="AE72"/>
  <c r="AI72" s="1"/>
  <c r="AE66"/>
  <c r="AI66" s="1"/>
  <c r="AE65"/>
  <c r="AI65" s="1"/>
  <c r="AE63"/>
  <c r="AI63" s="1"/>
  <c r="AE61"/>
  <c r="AI61" s="1"/>
  <c r="AE62"/>
  <c r="AI62" s="1"/>
  <c r="AE60"/>
  <c r="AI60" s="1"/>
  <c r="AE93"/>
  <c r="AI93" s="1"/>
  <c r="AE94"/>
  <c r="AI94" s="1"/>
  <c r="AE88"/>
  <c r="AI88" s="1"/>
  <c r="AE92"/>
  <c r="AI92" s="1"/>
  <c r="U137" i="6"/>
  <c r="U139"/>
  <c r="V207" i="4"/>
  <c r="AF150" i="3" l="1"/>
  <c r="AH102" i="1"/>
  <c r="AF102" i="2"/>
  <c r="AH104" i="4"/>
  <c r="AF100" i="3"/>
  <c r="AH122" i="4"/>
  <c r="AF104" i="3"/>
  <c r="AF61"/>
  <c r="AH100" i="4"/>
  <c r="AH101"/>
  <c r="AH102"/>
  <c r="AH105"/>
  <c r="AH106"/>
  <c r="AH110"/>
  <c r="AH113"/>
  <c r="AH114"/>
  <c r="AH120"/>
  <c r="AH121"/>
  <c r="AH124"/>
  <c r="AH126"/>
  <c r="AH127"/>
  <c r="AH129"/>
  <c r="AH132"/>
  <c r="AH136"/>
  <c r="AH139"/>
  <c r="AH143"/>
  <c r="AH148"/>
  <c r="AH149"/>
  <c r="AH154"/>
  <c r="AH155"/>
  <c r="AH156"/>
  <c r="AH157"/>
  <c r="AH158"/>
  <c r="AH159"/>
  <c r="AH160"/>
  <c r="AH162"/>
  <c r="AH163"/>
  <c r="AH165"/>
  <c r="AA12" i="6"/>
  <c r="AC12"/>
  <c r="AA13"/>
  <c r="AC13"/>
  <c r="AA14"/>
  <c r="AC14"/>
  <c r="AA15"/>
  <c r="AC15"/>
  <c r="AA16"/>
  <c r="AC16"/>
  <c r="AA17"/>
  <c r="AC17"/>
  <c r="AA19"/>
  <c r="AC19"/>
  <c r="AA20"/>
  <c r="AC20"/>
  <c r="AA21"/>
  <c r="AC21"/>
  <c r="AA22"/>
  <c r="AC22"/>
  <c r="AA23"/>
  <c r="AC23"/>
  <c r="AA24"/>
  <c r="AC24"/>
  <c r="AA25"/>
  <c r="AC25"/>
  <c r="AA27"/>
  <c r="AC27"/>
  <c r="AA28"/>
  <c r="AC28"/>
  <c r="AA29"/>
  <c r="AC29"/>
  <c r="AA30"/>
  <c r="AC30"/>
  <c r="AA31"/>
  <c r="AC31"/>
  <c r="AA32"/>
  <c r="AC32"/>
  <c r="AA33"/>
  <c r="AC33"/>
  <c r="AA37"/>
  <c r="AC37"/>
  <c r="AA38"/>
  <c r="AC38"/>
  <c r="AA44"/>
  <c r="AC44"/>
  <c r="AA45"/>
  <c r="AC45"/>
  <c r="AA46"/>
  <c r="AC46"/>
  <c r="AA47"/>
  <c r="AC47"/>
  <c r="AA48"/>
  <c r="AC48"/>
  <c r="AA49"/>
  <c r="AC49"/>
  <c r="AA50"/>
  <c r="AC50"/>
  <c r="AA52"/>
  <c r="AC52"/>
  <c r="AA53"/>
  <c r="AC53"/>
  <c r="AA54"/>
  <c r="AC54"/>
  <c r="AA55"/>
  <c r="AC55"/>
  <c r="AA56"/>
  <c r="AC56"/>
  <c r="AA57"/>
  <c r="AC57"/>
  <c r="AA58"/>
  <c r="AC58"/>
  <c r="AA59"/>
  <c r="AC59"/>
  <c r="AA60"/>
  <c r="AC60"/>
  <c r="AA61"/>
  <c r="AC61"/>
  <c r="AA62"/>
  <c r="AC62"/>
  <c r="AA63"/>
  <c r="AC63"/>
  <c r="AA64"/>
  <c r="AC64"/>
  <c r="AA65"/>
  <c r="AC65"/>
  <c r="AA66"/>
  <c r="AC66"/>
  <c r="AA67"/>
  <c r="AC67"/>
  <c r="AA68"/>
  <c r="AC68"/>
  <c r="AA69"/>
  <c r="AC69"/>
  <c r="AA70"/>
  <c r="AC70"/>
  <c r="AA71"/>
  <c r="AC71"/>
  <c r="AA72"/>
  <c r="AC72"/>
  <c r="AA73"/>
  <c r="AC73"/>
  <c r="AA74"/>
  <c r="AC74"/>
  <c r="AA75"/>
  <c r="AC75"/>
  <c r="AA76"/>
  <c r="AC76"/>
  <c r="AA77"/>
  <c r="AC77"/>
  <c r="AA78"/>
  <c r="AC78"/>
  <c r="AA79"/>
  <c r="AC79"/>
  <c r="AA80"/>
  <c r="AC80"/>
  <c r="AA81"/>
  <c r="AC81"/>
  <c r="AA82"/>
  <c r="AC82"/>
  <c r="AA83"/>
  <c r="AC83"/>
  <c r="AA84"/>
  <c r="AC84"/>
  <c r="AA85"/>
  <c r="AC85"/>
  <c r="AA86"/>
  <c r="AC86"/>
  <c r="AA87"/>
  <c r="AC87"/>
  <c r="AA88"/>
  <c r="AC88"/>
  <c r="AA89"/>
  <c r="AC89"/>
  <c r="AA90"/>
  <c r="AC90"/>
  <c r="AA91"/>
  <c r="AC91"/>
  <c r="AA92"/>
  <c r="AC92"/>
  <c r="AA93"/>
  <c r="AC93"/>
  <c r="AA94"/>
  <c r="AC94"/>
  <c r="AA95"/>
  <c r="AC95"/>
  <c r="AA96"/>
  <c r="AC96"/>
  <c r="AA97"/>
  <c r="AC97"/>
  <c r="AA98"/>
  <c r="AC98"/>
  <c r="AA99"/>
  <c r="AC99"/>
  <c r="AA100"/>
  <c r="AC100"/>
  <c r="AA101"/>
  <c r="AC101"/>
  <c r="AA102"/>
  <c r="AC102"/>
  <c r="AA103"/>
  <c r="AC103"/>
  <c r="AA104"/>
  <c r="AC104"/>
  <c r="AA105"/>
  <c r="AC105"/>
  <c r="AA106"/>
  <c r="AC106"/>
  <c r="AA107"/>
  <c r="AC107"/>
  <c r="AA108"/>
  <c r="AC108"/>
  <c r="AA109"/>
  <c r="AC109"/>
  <c r="AA110"/>
  <c r="AC110"/>
  <c r="AA111"/>
  <c r="AC111"/>
  <c r="AA113"/>
  <c r="AC113"/>
  <c r="AA114"/>
  <c r="AC114"/>
  <c r="AA115"/>
  <c r="AC115"/>
  <c r="AA117"/>
  <c r="AC117"/>
  <c r="AA118"/>
  <c r="AC118"/>
  <c r="AA119"/>
  <c r="AC119"/>
  <c r="AA122"/>
  <c r="AC122"/>
  <c r="AA123"/>
  <c r="AC123"/>
  <c r="AA124"/>
  <c r="AC124"/>
  <c r="AA125"/>
  <c r="AC125"/>
  <c r="AA126"/>
  <c r="AC126"/>
  <c r="AA127"/>
  <c r="AC127"/>
  <c r="AA128"/>
  <c r="AC128"/>
  <c r="AA129"/>
  <c r="AC129"/>
  <c r="AA131"/>
  <c r="AC131"/>
  <c r="AA132"/>
  <c r="AC132"/>
  <c r="AA133"/>
  <c r="AC133"/>
  <c r="AA134"/>
  <c r="AC134"/>
  <c r="AA135"/>
  <c r="AC135"/>
  <c r="AA136"/>
  <c r="AC136"/>
  <c r="AA137"/>
  <c r="AC137"/>
  <c r="AA139"/>
  <c r="AC139"/>
  <c r="AA140"/>
  <c r="AC140"/>
  <c r="AA141"/>
  <c r="AC141"/>
  <c r="AA142"/>
  <c r="AC142"/>
  <c r="AA144"/>
  <c r="AC144"/>
  <c r="AA145"/>
  <c r="AC145"/>
  <c r="AA146"/>
  <c r="AC146"/>
  <c r="AA147"/>
  <c r="AC147"/>
  <c r="AA148"/>
  <c r="AC148"/>
  <c r="AA149"/>
  <c r="AC149"/>
  <c r="AA150"/>
  <c r="AC150"/>
  <c r="AA151"/>
  <c r="AC151"/>
  <c r="AA152"/>
  <c r="AC152"/>
  <c r="AA153"/>
  <c r="AC153"/>
  <c r="AA154"/>
  <c r="AC154"/>
  <c r="AA155"/>
  <c r="AC155"/>
  <c r="AA156"/>
  <c r="AC156"/>
  <c r="AA157"/>
  <c r="AC157"/>
  <c r="AA158"/>
  <c r="AC158"/>
  <c r="AA159"/>
  <c r="AC159"/>
  <c r="AA160"/>
  <c r="AC160"/>
  <c r="AA162"/>
  <c r="AC162"/>
  <c r="AA163"/>
  <c r="AC163"/>
  <c r="AA164"/>
  <c r="AC164"/>
  <c r="AA165"/>
  <c r="AC165"/>
  <c r="AA166"/>
  <c r="AC166"/>
  <c r="AA167"/>
  <c r="AC167"/>
  <c r="AA168"/>
  <c r="AC168"/>
  <c r="AA169"/>
  <c r="AC169"/>
  <c r="AF256" i="2"/>
  <c r="AF257"/>
  <c r="AF260"/>
  <c r="AF261"/>
  <c r="AF262"/>
  <c r="AF265"/>
  <c r="AF266"/>
  <c r="AF267"/>
  <c r="AF270"/>
  <c r="AF272"/>
  <c r="AF275"/>
  <c r="AF276"/>
  <c r="AF277"/>
  <c r="AF279"/>
  <c r="AF280"/>
  <c r="AF281"/>
  <c r="AF282"/>
  <c r="AF283"/>
  <c r="AF284"/>
  <c r="AF285"/>
  <c r="AF287"/>
  <c r="AF288"/>
  <c r="AF289"/>
  <c r="AF290"/>
  <c r="AF292"/>
  <c r="AF296"/>
  <c r="AF299"/>
  <c r="AF301"/>
  <c r="AF303"/>
  <c r="AF306"/>
  <c r="AF179"/>
  <c r="AF181"/>
  <c r="AF183"/>
  <c r="AF185"/>
  <c r="AF187"/>
  <c r="AF193"/>
  <c r="AF194"/>
  <c r="AF195"/>
  <c r="AF198"/>
  <c r="AF199"/>
  <c r="AF201"/>
  <c r="AF202"/>
  <c r="AF204"/>
  <c r="AF208"/>
  <c r="AF211"/>
  <c r="AF212"/>
  <c r="AF213"/>
  <c r="AF215"/>
  <c r="AF216"/>
  <c r="AF218"/>
  <c r="AF225"/>
  <c r="AF227"/>
  <c r="AF231"/>
  <c r="AF232"/>
  <c r="AF233"/>
  <c r="AF234"/>
  <c r="AF235"/>
  <c r="AF236"/>
  <c r="AF240"/>
  <c r="AF241"/>
  <c r="AF21"/>
  <c r="AF25"/>
  <c r="AF29"/>
  <c r="AF33"/>
  <c r="AF35"/>
  <c r="AF37"/>
  <c r="AF38"/>
  <c r="AF39"/>
  <c r="AF41"/>
  <c r="AF42"/>
  <c r="AF47"/>
  <c r="AF48"/>
  <c r="AF50"/>
  <c r="AF51"/>
  <c r="AF55"/>
  <c r="AF56"/>
  <c r="AF58"/>
  <c r="AF61"/>
  <c r="AF62"/>
  <c r="AF64"/>
  <c r="AF65"/>
  <c r="AF66"/>
  <c r="AF70"/>
  <c r="AF72"/>
  <c r="AF73"/>
  <c r="AF75"/>
  <c r="AF76"/>
  <c r="AF77"/>
  <c r="AF78"/>
  <c r="AF79"/>
  <c r="AF82"/>
  <c r="AF83"/>
  <c r="AF85"/>
  <c r="AH256" i="1"/>
  <c r="AH257"/>
  <c r="AH258"/>
  <c r="AH261"/>
  <c r="AH262"/>
  <c r="AH263"/>
  <c r="AH266"/>
  <c r="AH267"/>
  <c r="AH268"/>
  <c r="AH271"/>
  <c r="AH273"/>
  <c r="AH276"/>
  <c r="AH277"/>
  <c r="AH278"/>
  <c r="AH280"/>
  <c r="AH281"/>
  <c r="AH282"/>
  <c r="AH283"/>
  <c r="AH284"/>
  <c r="AH285"/>
  <c r="AH286"/>
  <c r="AH288"/>
  <c r="AH289"/>
  <c r="AH290"/>
  <c r="AH291"/>
  <c r="AH293"/>
  <c r="AH297"/>
  <c r="AH300"/>
  <c r="AH302"/>
  <c r="AH304"/>
  <c r="AH307"/>
  <c r="AH178"/>
  <c r="AH180"/>
  <c r="AH182"/>
  <c r="AH184"/>
  <c r="AH186"/>
  <c r="AH188"/>
  <c r="AH194"/>
  <c r="AH195"/>
  <c r="AH196"/>
  <c r="AH199"/>
  <c r="AH200"/>
  <c r="AH202"/>
  <c r="AH203"/>
  <c r="AH205"/>
  <c r="AH209"/>
  <c r="AH212"/>
  <c r="AH213"/>
  <c r="AH214"/>
  <c r="AH216"/>
  <c r="AH217"/>
  <c r="AH219"/>
  <c r="AH226"/>
  <c r="AH228"/>
  <c r="AH232"/>
  <c r="AH233"/>
  <c r="AH234"/>
  <c r="AH235"/>
  <c r="AH236"/>
  <c r="AH237"/>
  <c r="AH241"/>
  <c r="AH242"/>
  <c r="AH98"/>
  <c r="AH99"/>
  <c r="AH100"/>
  <c r="AH103"/>
  <c r="AH104"/>
  <c r="AH106"/>
  <c r="AH108"/>
  <c r="AH111"/>
  <c r="AH112"/>
  <c r="AH118"/>
  <c r="AH119"/>
  <c r="AH120"/>
  <c r="AH122"/>
  <c r="AH124"/>
  <c r="AH125"/>
  <c r="AH127"/>
  <c r="AH130"/>
  <c r="AH134"/>
  <c r="AH137"/>
  <c r="AH138"/>
  <c r="AH142"/>
  <c r="AH147"/>
  <c r="AH148"/>
  <c r="AH153"/>
  <c r="AH154"/>
  <c r="AH155"/>
  <c r="AH156"/>
  <c r="AH157"/>
  <c r="AH159"/>
  <c r="AH161"/>
  <c r="AH162"/>
  <c r="AH164"/>
  <c r="AH21"/>
  <c r="AH25"/>
  <c r="AH29"/>
  <c r="AH33"/>
  <c r="AH35"/>
  <c r="AH37"/>
  <c r="AH38"/>
  <c r="AH39"/>
  <c r="AH41"/>
  <c r="AH42"/>
  <c r="AH47"/>
  <c r="AH48"/>
  <c r="AH50"/>
  <c r="AH51"/>
  <c r="AH55"/>
  <c r="AH56"/>
  <c r="AH58"/>
  <c r="AH61"/>
  <c r="AH62"/>
  <c r="AH64"/>
  <c r="AH65"/>
  <c r="AH66"/>
  <c r="AH70"/>
  <c r="AH72"/>
  <c r="AH73"/>
  <c r="AH75"/>
  <c r="AH76"/>
  <c r="AH77"/>
  <c r="AH78"/>
  <c r="AH79"/>
  <c r="AH82"/>
  <c r="AH83"/>
  <c r="AH85"/>
  <c r="AH62" i="4"/>
  <c r="AF98" i="2" l="1"/>
  <c r="AF285" i="3"/>
  <c r="AH291" i="4"/>
  <c r="AF283" i="3"/>
  <c r="AH289" i="4"/>
  <c r="AH239"/>
  <c r="AH238"/>
  <c r="AF230" i="3"/>
  <c r="AH235" i="4"/>
  <c r="AF210" i="3"/>
  <c r="AH215" i="4"/>
  <c r="AF234" i="3" l="1"/>
  <c r="AF76"/>
  <c r="AH77" i="4"/>
  <c r="M13" i="5" l="1"/>
  <c r="M134"/>
  <c r="AC125"/>
  <c r="AE125" s="1"/>
  <c r="AI125" s="1"/>
  <c r="AF8" i="3"/>
  <c r="AH9" i="4"/>
  <c r="AH8" i="1"/>
  <c r="AF47" i="3"/>
  <c r="AH48" i="4"/>
  <c r="AH280"/>
  <c r="AC117" i="5"/>
  <c r="AE117" s="1"/>
  <c r="AI117" s="1"/>
  <c r="AF225" i="3"/>
  <c r="AH230" i="4"/>
  <c r="AF152" i="2"/>
  <c r="AF101" i="3"/>
  <c r="AF103" i="2"/>
  <c r="AF116" i="3"/>
  <c r="AF118" i="2"/>
  <c r="AH57" i="4"/>
  <c r="AF158" i="2"/>
  <c r="AC83" i="5" l="1"/>
  <c r="AE83" s="1"/>
  <c r="AI83" s="1"/>
  <c r="AF274" i="3"/>
  <c r="AC13" i="5"/>
  <c r="AE13" s="1"/>
  <c r="AI13" s="1"/>
  <c r="AF183" i="3"/>
  <c r="AH188" i="4"/>
  <c r="AC129" i="5"/>
  <c r="AE129" s="1"/>
  <c r="AI129" s="1"/>
  <c r="AC128"/>
  <c r="AE128" s="1"/>
  <c r="AI128" s="1"/>
  <c r="AC127"/>
  <c r="AE127" s="1"/>
  <c r="AI127" s="1"/>
  <c r="AC123"/>
  <c r="AE123" s="1"/>
  <c r="AI123" s="1"/>
  <c r="AC122"/>
  <c r="AE122" s="1"/>
  <c r="AI122" s="1"/>
  <c r="AC121"/>
  <c r="AE121" s="1"/>
  <c r="AI121" s="1"/>
  <c r="AC120"/>
  <c r="AE120" s="1"/>
  <c r="AI120" s="1"/>
  <c r="AC118"/>
  <c r="AE118" s="1"/>
  <c r="AI118" s="1"/>
  <c r="AC116"/>
  <c r="AE116" s="1"/>
  <c r="AI116" s="1"/>
  <c r="AC115"/>
  <c r="AE115" s="1"/>
  <c r="AI115" s="1"/>
  <c r="AC134"/>
  <c r="AC82"/>
  <c r="AE82" s="1"/>
  <c r="AI82" s="1"/>
  <c r="AC12"/>
  <c r="AE12" s="1"/>
  <c r="AI12" s="1"/>
  <c r="AC119"/>
  <c r="AE119" s="1"/>
  <c r="AI119" s="1"/>
  <c r="AC11" i="6"/>
  <c r="AA11"/>
  <c r="E167"/>
  <c r="E166"/>
  <c r="E165"/>
  <c r="E164"/>
  <c r="E163"/>
  <c r="E162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2"/>
  <c r="E141"/>
  <c r="E140"/>
  <c r="E139"/>
  <c r="E137"/>
  <c r="E136"/>
  <c r="E135"/>
  <c r="E134"/>
  <c r="E133"/>
  <c r="E132"/>
  <c r="E131"/>
  <c r="E129"/>
  <c r="E128"/>
  <c r="E127"/>
  <c r="E126"/>
  <c r="E125"/>
  <c r="E124"/>
  <c r="E123"/>
  <c r="E122"/>
  <c r="E119"/>
  <c r="E118"/>
  <c r="E117"/>
  <c r="E115"/>
  <c r="E114"/>
  <c r="E113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0"/>
  <c r="E49"/>
  <c r="E48"/>
  <c r="E47"/>
  <c r="E46"/>
  <c r="E45"/>
  <c r="E44"/>
  <c r="E30"/>
  <c r="E28"/>
  <c r="E25"/>
  <c r="E38"/>
  <c r="E37"/>
  <c r="E21"/>
  <c r="E33"/>
  <c r="E32"/>
  <c r="E31"/>
  <c r="E29"/>
  <c r="E27"/>
  <c r="E24"/>
  <c r="E22"/>
  <c r="E20"/>
  <c r="E19"/>
  <c r="E17"/>
  <c r="E16"/>
  <c r="E15"/>
  <c r="E14"/>
  <c r="E13"/>
  <c r="E12"/>
  <c r="E11"/>
  <c r="AA595"/>
  <c r="U595"/>
  <c r="K595"/>
  <c r="AA594"/>
  <c r="U594"/>
  <c r="K594"/>
  <c r="AA593"/>
  <c r="U593"/>
  <c r="K593"/>
  <c r="AA592"/>
  <c r="U592"/>
  <c r="K592"/>
  <c r="AA591"/>
  <c r="U591"/>
  <c r="K591"/>
  <c r="AA590"/>
  <c r="U590"/>
  <c r="K590"/>
  <c r="AA589"/>
  <c r="U589"/>
  <c r="K589"/>
  <c r="AA588"/>
  <c r="U588"/>
  <c r="K588"/>
  <c r="AA587"/>
  <c r="U587"/>
  <c r="K587"/>
  <c r="AA586"/>
  <c r="U586"/>
  <c r="K586"/>
  <c r="AA585"/>
  <c r="U585"/>
  <c r="K585"/>
  <c r="AA584"/>
  <c r="U584"/>
  <c r="K584"/>
  <c r="AA583"/>
  <c r="U583"/>
  <c r="K583"/>
  <c r="AA582"/>
  <c r="U582"/>
  <c r="K582"/>
  <c r="AA581"/>
  <c r="U581"/>
  <c r="K581"/>
  <c r="AA580"/>
  <c r="U580"/>
  <c r="K580"/>
  <c r="AA579"/>
  <c r="U579"/>
  <c r="K579"/>
  <c r="AA578"/>
  <c r="U578"/>
  <c r="K578"/>
  <c r="AA577"/>
  <c r="U577"/>
  <c r="K577"/>
  <c r="AA576"/>
  <c r="U576"/>
  <c r="K576"/>
  <c r="AA575"/>
  <c r="U575"/>
  <c r="K575"/>
  <c r="AA574"/>
  <c r="U574"/>
  <c r="K574"/>
  <c r="AA573"/>
  <c r="U573"/>
  <c r="K573"/>
  <c r="AA572"/>
  <c r="U572"/>
  <c r="K572"/>
  <c r="AA571"/>
  <c r="U571"/>
  <c r="K571"/>
  <c r="AA570"/>
  <c r="U570"/>
  <c r="K570"/>
  <c r="AA569"/>
  <c r="U569"/>
  <c r="K569"/>
  <c r="AA568"/>
  <c r="U568"/>
  <c r="K568"/>
  <c r="AA567"/>
  <c r="U567"/>
  <c r="K567"/>
  <c r="AA566"/>
  <c r="U566"/>
  <c r="K566"/>
  <c r="AA565"/>
  <c r="U565"/>
  <c r="K565"/>
  <c r="AA562"/>
  <c r="U562"/>
  <c r="K562"/>
  <c r="AA561"/>
  <c r="U561"/>
  <c r="K561"/>
  <c r="AA560"/>
  <c r="U560"/>
  <c r="K560"/>
  <c r="AA559"/>
  <c r="U559"/>
  <c r="K559"/>
  <c r="AA558"/>
  <c r="U558"/>
  <c r="K558"/>
  <c r="AA557"/>
  <c r="U557"/>
  <c r="K557"/>
  <c r="AA556"/>
  <c r="U556"/>
  <c r="K556"/>
  <c r="AA555"/>
  <c r="U555"/>
  <c r="K555"/>
  <c r="AA554"/>
  <c r="U554"/>
  <c r="K554"/>
  <c r="AA553"/>
  <c r="U553"/>
  <c r="K553"/>
  <c r="AA552"/>
  <c r="U552"/>
  <c r="K552"/>
  <c r="AA551"/>
  <c r="U551"/>
  <c r="K551"/>
  <c r="AA550"/>
  <c r="U550"/>
  <c r="K550"/>
  <c r="AA549"/>
  <c r="U549"/>
  <c r="K549"/>
  <c r="AA548"/>
  <c r="K548"/>
  <c r="AA547"/>
  <c r="U547"/>
  <c r="K547"/>
  <c r="AA546"/>
  <c r="U546"/>
  <c r="K546"/>
  <c r="AA545"/>
  <c r="U545"/>
  <c r="K545"/>
  <c r="AA544"/>
  <c r="U544"/>
  <c r="K544"/>
  <c r="AA543"/>
  <c r="U543"/>
  <c r="K543"/>
  <c r="AA542"/>
  <c r="U542"/>
  <c r="K542"/>
  <c r="AA541"/>
  <c r="U541"/>
  <c r="K541"/>
  <c r="AA540"/>
  <c r="U540"/>
  <c r="K540"/>
  <c r="AA539"/>
  <c r="U539"/>
  <c r="K539"/>
  <c r="AA538"/>
  <c r="U538"/>
  <c r="K538"/>
  <c r="AA537"/>
  <c r="U537"/>
  <c r="K537"/>
  <c r="AA536"/>
  <c r="U536"/>
  <c r="K536"/>
  <c r="AA535"/>
  <c r="U535"/>
  <c r="K535"/>
  <c r="AA534"/>
  <c r="U534"/>
  <c r="K534"/>
  <c r="AA533"/>
  <c r="U533"/>
  <c r="K533"/>
  <c r="AA532"/>
  <c r="U532"/>
  <c r="K532"/>
  <c r="AA531"/>
  <c r="U531"/>
  <c r="K531"/>
  <c r="AA530"/>
  <c r="U530"/>
  <c r="K530"/>
  <c r="AA529"/>
  <c r="U529"/>
  <c r="K529"/>
  <c r="AA528"/>
  <c r="U528"/>
  <c r="K528"/>
  <c r="AA527"/>
  <c r="U527"/>
  <c r="K527"/>
  <c r="AA526"/>
  <c r="U526"/>
  <c r="K526"/>
  <c r="AA525"/>
  <c r="U525"/>
  <c r="K525"/>
  <c r="AA524"/>
  <c r="U524"/>
  <c r="K524"/>
  <c r="AA523"/>
  <c r="U523"/>
  <c r="K523"/>
  <c r="AA522"/>
  <c r="U522"/>
  <c r="K522"/>
  <c r="AA521"/>
  <c r="U521"/>
  <c r="K521"/>
  <c r="AA520"/>
  <c r="U520"/>
  <c r="K520"/>
  <c r="AA519"/>
  <c r="U519"/>
  <c r="K519"/>
  <c r="AA518"/>
  <c r="U518"/>
  <c r="K518"/>
  <c r="AA517"/>
  <c r="U517"/>
  <c r="K517"/>
  <c r="AA516"/>
  <c r="U516"/>
  <c r="K516"/>
  <c r="AA515"/>
  <c r="U515"/>
  <c r="K515"/>
  <c r="AA514"/>
  <c r="U514"/>
  <c r="K514"/>
  <c r="AA513"/>
  <c r="U513"/>
  <c r="K513"/>
  <c r="AA512"/>
  <c r="U512"/>
  <c r="K512"/>
  <c r="AA511"/>
  <c r="U511"/>
  <c r="K511"/>
  <c r="AA510"/>
  <c r="U510"/>
  <c r="K510"/>
  <c r="AA509"/>
  <c r="U509"/>
  <c r="K509"/>
  <c r="AA508"/>
  <c r="U508"/>
  <c r="K508"/>
  <c r="U507"/>
  <c r="K507"/>
  <c r="AA507"/>
  <c r="AA506"/>
  <c r="U506"/>
  <c r="K506"/>
  <c r="AA505"/>
  <c r="U505"/>
  <c r="K505"/>
  <c r="AA504"/>
  <c r="U504"/>
  <c r="K504"/>
  <c r="AA503"/>
  <c r="U503"/>
  <c r="K503"/>
  <c r="AA502"/>
  <c r="U502"/>
  <c r="K502"/>
  <c r="AA501"/>
  <c r="U501"/>
  <c r="K501"/>
  <c r="AA500"/>
  <c r="U500"/>
  <c r="K500"/>
  <c r="AA499"/>
  <c r="U499"/>
  <c r="K499"/>
  <c r="AA498"/>
  <c r="U498"/>
  <c r="K498"/>
  <c r="AA497"/>
  <c r="U497"/>
  <c r="K497"/>
  <c r="AA496"/>
  <c r="U496"/>
  <c r="K496"/>
  <c r="AA495"/>
  <c r="U495"/>
  <c r="K495"/>
  <c r="AA494"/>
  <c r="U494"/>
  <c r="K494"/>
  <c r="AA493"/>
  <c r="U493"/>
  <c r="K493"/>
  <c r="AA492"/>
  <c r="U492"/>
  <c r="K492"/>
  <c r="AA491"/>
  <c r="U491"/>
  <c r="K491"/>
  <c r="AA490"/>
  <c r="U490"/>
  <c r="K490"/>
  <c r="AA487"/>
  <c r="U487"/>
  <c r="K487"/>
  <c r="AA486"/>
  <c r="U486"/>
  <c r="K486"/>
  <c r="AA485"/>
  <c r="U485"/>
  <c r="K485"/>
  <c r="AA484"/>
  <c r="U484"/>
  <c r="K484"/>
  <c r="AA483"/>
  <c r="U483"/>
  <c r="K483"/>
  <c r="AA482"/>
  <c r="U482"/>
  <c r="K482"/>
  <c r="AA481"/>
  <c r="U481"/>
  <c r="K481"/>
  <c r="AA480"/>
  <c r="U480"/>
  <c r="K480"/>
  <c r="AA479"/>
  <c r="U479"/>
  <c r="K479"/>
  <c r="AA478"/>
  <c r="U478"/>
  <c r="K478"/>
  <c r="AA477"/>
  <c r="U477"/>
  <c r="K477"/>
  <c r="AA476"/>
  <c r="U476"/>
  <c r="K476"/>
  <c r="AA475"/>
  <c r="U475"/>
  <c r="K475"/>
  <c r="AA474"/>
  <c r="K474"/>
  <c r="AA473"/>
  <c r="U473"/>
  <c r="K473"/>
  <c r="AA472"/>
  <c r="U472"/>
  <c r="K472"/>
  <c r="AA471"/>
  <c r="U471"/>
  <c r="K471"/>
  <c r="AA470"/>
  <c r="U470"/>
  <c r="K470"/>
  <c r="AA469"/>
  <c r="U469"/>
  <c r="K469"/>
  <c r="AA468"/>
  <c r="U468"/>
  <c r="K468"/>
  <c r="AA467"/>
  <c r="U467"/>
  <c r="K467"/>
  <c r="AA466"/>
  <c r="U466"/>
  <c r="K466"/>
  <c r="AA465"/>
  <c r="U465"/>
  <c r="K465"/>
  <c r="AA464"/>
  <c r="U464"/>
  <c r="K464"/>
  <c r="AA463"/>
  <c r="U463"/>
  <c r="K463"/>
  <c r="AA462"/>
  <c r="U462"/>
  <c r="K462"/>
  <c r="AA461"/>
  <c r="U461"/>
  <c r="K461"/>
  <c r="AA460"/>
  <c r="U460"/>
  <c r="K460"/>
  <c r="AA459"/>
  <c r="U459"/>
  <c r="K459"/>
  <c r="AA458"/>
  <c r="U458"/>
  <c r="K458"/>
  <c r="AA457"/>
  <c r="U457"/>
  <c r="K457"/>
  <c r="AA456"/>
  <c r="U456"/>
  <c r="K456"/>
  <c r="AA455"/>
  <c r="U455"/>
  <c r="K455"/>
  <c r="AA454"/>
  <c r="U454"/>
  <c r="K454"/>
  <c r="AA453"/>
  <c r="U453"/>
  <c r="K453"/>
  <c r="AA452"/>
  <c r="U452"/>
  <c r="K452"/>
  <c r="AA451"/>
  <c r="U451"/>
  <c r="K451"/>
  <c r="AA450"/>
  <c r="U450"/>
  <c r="K450"/>
  <c r="AA449"/>
  <c r="U449"/>
  <c r="K449"/>
  <c r="U448"/>
  <c r="K448"/>
  <c r="AA448"/>
  <c r="AA447"/>
  <c r="U447"/>
  <c r="K447"/>
  <c r="AA446"/>
  <c r="U446"/>
  <c r="K446"/>
  <c r="AA445"/>
  <c r="U445"/>
  <c r="K445"/>
  <c r="AA444"/>
  <c r="U444"/>
  <c r="K444"/>
  <c r="AA443"/>
  <c r="U443"/>
  <c r="K443"/>
  <c r="AA442"/>
  <c r="U442"/>
  <c r="K442"/>
  <c r="AA441"/>
  <c r="U441"/>
  <c r="K441"/>
  <c r="AA440"/>
  <c r="U440"/>
  <c r="K440"/>
  <c r="AA439"/>
  <c r="U439"/>
  <c r="K439"/>
  <c r="AA438"/>
  <c r="U438"/>
  <c r="K438"/>
  <c r="AA437"/>
  <c r="U437"/>
  <c r="K437"/>
  <c r="AA436"/>
  <c r="U436"/>
  <c r="K436"/>
  <c r="AA435"/>
  <c r="U435"/>
  <c r="K435"/>
  <c r="AA434"/>
  <c r="U434"/>
  <c r="K434"/>
  <c r="AA433"/>
  <c r="U433"/>
  <c r="K433"/>
  <c r="AA432"/>
  <c r="U432"/>
  <c r="K432"/>
  <c r="AA431"/>
  <c r="U431"/>
  <c r="K431"/>
  <c r="AA430"/>
  <c r="U430"/>
  <c r="K430"/>
  <c r="AA429"/>
  <c r="U429"/>
  <c r="K429"/>
  <c r="U428"/>
  <c r="K428"/>
  <c r="AA428"/>
  <c r="AA427"/>
  <c r="U427"/>
  <c r="K427"/>
  <c r="AA426"/>
  <c r="U426"/>
  <c r="K426"/>
  <c r="AA425"/>
  <c r="U425"/>
  <c r="K425"/>
  <c r="AA424"/>
  <c r="U424"/>
  <c r="K424"/>
  <c r="AA423"/>
  <c r="U423"/>
  <c r="K423"/>
  <c r="AA420"/>
  <c r="U420"/>
  <c r="K420"/>
  <c r="AA419"/>
  <c r="U419"/>
  <c r="K419"/>
  <c r="U418"/>
  <c r="K418"/>
  <c r="AA418"/>
  <c r="AA417"/>
  <c r="U417"/>
  <c r="K417"/>
  <c r="AA416"/>
  <c r="U416"/>
  <c r="K416"/>
  <c r="AA415"/>
  <c r="U415"/>
  <c r="K415"/>
  <c r="AA414"/>
  <c r="U414"/>
  <c r="K414"/>
  <c r="AA413"/>
  <c r="U413"/>
  <c r="K413"/>
  <c r="AA412"/>
  <c r="U412"/>
  <c r="K412"/>
  <c r="AA411"/>
  <c r="U411"/>
  <c r="K411"/>
  <c r="AA410"/>
  <c r="U410"/>
  <c r="K410"/>
  <c r="AA409"/>
  <c r="U409"/>
  <c r="K409"/>
  <c r="AA408"/>
  <c r="U408"/>
  <c r="K408"/>
  <c r="AA407"/>
  <c r="U407"/>
  <c r="K407"/>
  <c r="AA406"/>
  <c r="U406"/>
  <c r="K406"/>
  <c r="AA405"/>
  <c r="U405"/>
  <c r="K405"/>
  <c r="AA404"/>
  <c r="U404"/>
  <c r="K404"/>
  <c r="AA403"/>
  <c r="U403"/>
  <c r="K403"/>
  <c r="AA402"/>
  <c r="U402"/>
  <c r="K402"/>
  <c r="AA401"/>
  <c r="U401"/>
  <c r="K401"/>
  <c r="AA400"/>
  <c r="U400"/>
  <c r="K400"/>
  <c r="AA399"/>
  <c r="U399"/>
  <c r="K399"/>
  <c r="AA398"/>
  <c r="U398"/>
  <c r="K398"/>
  <c r="U397"/>
  <c r="K397"/>
  <c r="AA397"/>
  <c r="AA396"/>
  <c r="U396"/>
  <c r="K396"/>
  <c r="AA395"/>
  <c r="U395"/>
  <c r="K395"/>
  <c r="AA394"/>
  <c r="U394"/>
  <c r="K394"/>
  <c r="AA393"/>
  <c r="U393"/>
  <c r="K393"/>
  <c r="AA392"/>
  <c r="U392"/>
  <c r="K392"/>
  <c r="AA391"/>
  <c r="U391"/>
  <c r="K391"/>
  <c r="AA390"/>
  <c r="U390"/>
  <c r="K390"/>
  <c r="AA389"/>
  <c r="U389"/>
  <c r="K389"/>
  <c r="AA388"/>
  <c r="U388"/>
  <c r="K388"/>
  <c r="AA387"/>
  <c r="U387"/>
  <c r="K387"/>
  <c r="AA386"/>
  <c r="U386"/>
  <c r="K386"/>
  <c r="AA385"/>
  <c r="U385"/>
  <c r="K385"/>
  <c r="AA384"/>
  <c r="U384"/>
  <c r="K384"/>
  <c r="AA383"/>
  <c r="U383"/>
  <c r="K383"/>
  <c r="AA382"/>
  <c r="U382"/>
  <c r="K382"/>
  <c r="AA381"/>
  <c r="U381"/>
  <c r="K381"/>
  <c r="AA380"/>
  <c r="U380"/>
  <c r="K380"/>
  <c r="AA379"/>
  <c r="U379"/>
  <c r="K379"/>
  <c r="AA378"/>
  <c r="U378"/>
  <c r="K378"/>
  <c r="AA377"/>
  <c r="U377"/>
  <c r="K377"/>
  <c r="AA376"/>
  <c r="U376"/>
  <c r="K376"/>
  <c r="AA375"/>
  <c r="U375"/>
  <c r="K375"/>
  <c r="AA374"/>
  <c r="U374"/>
  <c r="K374"/>
  <c r="AA373"/>
  <c r="U373"/>
  <c r="K373"/>
  <c r="AA372"/>
  <c r="U372"/>
  <c r="K372"/>
  <c r="AA371"/>
  <c r="U371"/>
  <c r="K371"/>
  <c r="AA370"/>
  <c r="U370"/>
  <c r="K370"/>
  <c r="AA369"/>
  <c r="U369"/>
  <c r="K369"/>
  <c r="AA368"/>
  <c r="U368"/>
  <c r="K368"/>
  <c r="AA367"/>
  <c r="U367"/>
  <c r="K367"/>
  <c r="AA366"/>
  <c r="U366"/>
  <c r="K366"/>
  <c r="AA365"/>
  <c r="U365"/>
  <c r="K365"/>
  <c r="AA364"/>
  <c r="U364"/>
  <c r="K364"/>
  <c r="AA363"/>
  <c r="U363"/>
  <c r="K363"/>
  <c r="AA362"/>
  <c r="U362"/>
  <c r="K362"/>
  <c r="AA361"/>
  <c r="U361"/>
  <c r="K361"/>
  <c r="AA360"/>
  <c r="U360"/>
  <c r="K360"/>
  <c r="AA359"/>
  <c r="U359"/>
  <c r="K359"/>
  <c r="AA358"/>
  <c r="U358"/>
  <c r="K358"/>
  <c r="AA357"/>
  <c r="U357"/>
  <c r="K357"/>
  <c r="AA356"/>
  <c r="U356"/>
  <c r="K356"/>
  <c r="AA355"/>
  <c r="U355"/>
  <c r="K355"/>
  <c r="AA354"/>
  <c r="U354"/>
  <c r="K354"/>
  <c r="AA353"/>
  <c r="U353"/>
  <c r="K353"/>
  <c r="AA352"/>
  <c r="U352"/>
  <c r="K352"/>
  <c r="AA351"/>
  <c r="U351"/>
  <c r="K351"/>
  <c r="AA350"/>
  <c r="U350"/>
  <c r="K350"/>
  <c r="AA349"/>
  <c r="U349"/>
  <c r="K349"/>
  <c r="AA348"/>
  <c r="U348"/>
  <c r="K348"/>
  <c r="AA345"/>
  <c r="U345"/>
  <c r="K345"/>
  <c r="AA344"/>
  <c r="U344"/>
  <c r="K344"/>
  <c r="AA343"/>
  <c r="U343"/>
  <c r="K343"/>
  <c r="AA342"/>
  <c r="U342"/>
  <c r="K342"/>
  <c r="AA341"/>
  <c r="U341"/>
  <c r="K341"/>
  <c r="AA340"/>
  <c r="U340"/>
  <c r="K340"/>
  <c r="AA339"/>
  <c r="U339"/>
  <c r="K339"/>
  <c r="AA338"/>
  <c r="U338"/>
  <c r="K338"/>
  <c r="AA337"/>
  <c r="U337"/>
  <c r="K337"/>
  <c r="AA336"/>
  <c r="U336"/>
  <c r="K336"/>
  <c r="AA335"/>
  <c r="U335"/>
  <c r="K335"/>
  <c r="AA334"/>
  <c r="U334"/>
  <c r="K334"/>
  <c r="AA333"/>
  <c r="U333"/>
  <c r="K333"/>
  <c r="AA332"/>
  <c r="U332"/>
  <c r="K332"/>
  <c r="AA331"/>
  <c r="U331"/>
  <c r="K331"/>
  <c r="AA330"/>
  <c r="U330"/>
  <c r="K330"/>
  <c r="AA329"/>
  <c r="U329"/>
  <c r="K329"/>
  <c r="AA328"/>
  <c r="U328"/>
  <c r="K328"/>
  <c r="AA327"/>
  <c r="U327"/>
  <c r="K327"/>
  <c r="AA326"/>
  <c r="U326"/>
  <c r="K326"/>
  <c r="AA325"/>
  <c r="U325"/>
  <c r="K325"/>
  <c r="AA324"/>
  <c r="U324"/>
  <c r="K324"/>
  <c r="AA323"/>
  <c r="U323"/>
  <c r="K323"/>
  <c r="AA322"/>
  <c r="U322"/>
  <c r="K322"/>
  <c r="AA321"/>
  <c r="U321"/>
  <c r="K321"/>
  <c r="AA320"/>
  <c r="U320"/>
  <c r="K320"/>
  <c r="AA319"/>
  <c r="U319"/>
  <c r="K319"/>
  <c r="AA318"/>
  <c r="U318"/>
  <c r="K318"/>
  <c r="AA317"/>
  <c r="U317"/>
  <c r="K317"/>
  <c r="AA316"/>
  <c r="U316"/>
  <c r="K316"/>
  <c r="AA315"/>
  <c r="U315"/>
  <c r="K315"/>
  <c r="AA314"/>
  <c r="U314"/>
  <c r="K314"/>
  <c r="AA313"/>
  <c r="U313"/>
  <c r="K313"/>
  <c r="AA312"/>
  <c r="U312"/>
  <c r="K312"/>
  <c r="AA311"/>
  <c r="U311"/>
  <c r="K311"/>
  <c r="AA310"/>
  <c r="U310"/>
  <c r="K310"/>
  <c r="AA309"/>
  <c r="U309"/>
  <c r="K309"/>
  <c r="AA308"/>
  <c r="U308"/>
  <c r="K308"/>
  <c r="AA307"/>
  <c r="U307"/>
  <c r="K307"/>
  <c r="AA306"/>
  <c r="U306"/>
  <c r="K306"/>
  <c r="AA305"/>
  <c r="U305"/>
  <c r="K305"/>
  <c r="AA304"/>
  <c r="U304"/>
  <c r="K304"/>
  <c r="AA303"/>
  <c r="U303"/>
  <c r="K303"/>
  <c r="AA302"/>
  <c r="U302"/>
  <c r="K302"/>
  <c r="AA301"/>
  <c r="U301"/>
  <c r="K301"/>
  <c r="AA300"/>
  <c r="U300"/>
  <c r="K300"/>
  <c r="AA299"/>
  <c r="U299"/>
  <c r="K299"/>
  <c r="AA298"/>
  <c r="U298"/>
  <c r="K298"/>
  <c r="AA297"/>
  <c r="U297"/>
  <c r="K297"/>
  <c r="AA296"/>
  <c r="U296"/>
  <c r="K296"/>
  <c r="AA295"/>
  <c r="U295"/>
  <c r="K295"/>
  <c r="AA294"/>
  <c r="U294"/>
  <c r="K294"/>
  <c r="AA293"/>
  <c r="U293"/>
  <c r="K293"/>
  <c r="AA292"/>
  <c r="U292"/>
  <c r="K292"/>
  <c r="AA291"/>
  <c r="U291"/>
  <c r="K291"/>
  <c r="AA290"/>
  <c r="U290"/>
  <c r="K290"/>
  <c r="AA289"/>
  <c r="U289"/>
  <c r="K289"/>
  <c r="AA288"/>
  <c r="U288"/>
  <c r="K288"/>
  <c r="AA287"/>
  <c r="U287"/>
  <c r="K287"/>
  <c r="AA286"/>
  <c r="U286"/>
  <c r="K286"/>
  <c r="AA285"/>
  <c r="U285"/>
  <c r="K285"/>
  <c r="AA284"/>
  <c r="U284"/>
  <c r="K284"/>
  <c r="AA283"/>
  <c r="U283"/>
  <c r="K283"/>
  <c r="AA282"/>
  <c r="U282"/>
  <c r="K282"/>
  <c r="AA281"/>
  <c r="U281"/>
  <c r="K281"/>
  <c r="AA280"/>
  <c r="K280"/>
  <c r="AA277"/>
  <c r="U277"/>
  <c r="K277"/>
  <c r="AA276"/>
  <c r="U276"/>
  <c r="K276"/>
  <c r="AA275"/>
  <c r="U275"/>
  <c r="K275"/>
  <c r="AA274"/>
  <c r="U274"/>
  <c r="K274"/>
  <c r="AA273"/>
  <c r="U273"/>
  <c r="K273"/>
  <c r="AA272"/>
  <c r="U272"/>
  <c r="K272"/>
  <c r="AA271"/>
  <c r="U271"/>
  <c r="K271"/>
  <c r="AA270"/>
  <c r="U270"/>
  <c r="K270"/>
  <c r="AA269"/>
  <c r="U269"/>
  <c r="K269"/>
  <c r="U268"/>
  <c r="AA267"/>
  <c r="U267"/>
  <c r="K267"/>
  <c r="AA266"/>
  <c r="U266"/>
  <c r="AA265"/>
  <c r="U265"/>
  <c r="K265"/>
  <c r="AA264"/>
  <c r="U264"/>
  <c r="K264"/>
  <c r="AA263"/>
  <c r="U263"/>
  <c r="K263"/>
  <c r="AA262"/>
  <c r="U262"/>
  <c r="K262"/>
  <c r="AA261"/>
  <c r="U261"/>
  <c r="K261"/>
  <c r="AA260"/>
  <c r="U260"/>
  <c r="K260"/>
  <c r="AA259"/>
  <c r="U259"/>
  <c r="K259"/>
  <c r="AA258"/>
  <c r="U258"/>
  <c r="K258"/>
  <c r="AA257"/>
  <c r="U257"/>
  <c r="K257"/>
  <c r="AA256"/>
  <c r="U256"/>
  <c r="K256"/>
  <c r="AA255"/>
  <c r="U255"/>
  <c r="K255"/>
  <c r="AA254"/>
  <c r="U254"/>
  <c r="K254"/>
  <c r="AA253"/>
  <c r="U253"/>
  <c r="K253"/>
  <c r="U252"/>
  <c r="K252"/>
  <c r="AA251"/>
  <c r="U251"/>
  <c r="K251"/>
  <c r="AA250"/>
  <c r="U250"/>
  <c r="K250"/>
  <c r="AA249"/>
  <c r="U249"/>
  <c r="K249"/>
  <c r="AA248"/>
  <c r="U248"/>
  <c r="K248"/>
  <c r="AA247"/>
  <c r="U247"/>
  <c r="K247"/>
  <c r="AA246"/>
  <c r="U246"/>
  <c r="K246"/>
  <c r="AA245"/>
  <c r="U245"/>
  <c r="K245"/>
  <c r="AA244"/>
  <c r="U244"/>
  <c r="K244"/>
  <c r="AA243"/>
  <c r="U243"/>
  <c r="K243"/>
  <c r="AA242"/>
  <c r="U242"/>
  <c r="K242"/>
  <c r="AA241"/>
  <c r="U241"/>
  <c r="K241"/>
  <c r="AA240"/>
  <c r="U240"/>
  <c r="K240"/>
  <c r="AA239"/>
  <c r="U239"/>
  <c r="K239"/>
  <c r="AA238"/>
  <c r="U238"/>
  <c r="K238"/>
  <c r="AA237"/>
  <c r="U237"/>
  <c r="K237"/>
  <c r="AA236"/>
  <c r="U236"/>
  <c r="K236"/>
  <c r="AA235"/>
  <c r="U235"/>
  <c r="K235"/>
  <c r="AA234"/>
  <c r="U234"/>
  <c r="K234"/>
  <c r="AA233"/>
  <c r="U233"/>
  <c r="K233"/>
  <c r="AA232"/>
  <c r="U232"/>
  <c r="K232"/>
  <c r="AA231"/>
  <c r="U231"/>
  <c r="K231"/>
  <c r="AA230"/>
  <c r="U230"/>
  <c r="K230"/>
  <c r="AA229"/>
  <c r="U229"/>
  <c r="K229"/>
  <c r="AA228"/>
  <c r="U228"/>
  <c r="K228"/>
  <c r="AA227"/>
  <c r="U227"/>
  <c r="K227"/>
  <c r="AA226"/>
  <c r="U226"/>
  <c r="K226"/>
  <c r="AA225"/>
  <c r="U225"/>
  <c r="K225"/>
  <c r="AA224"/>
  <c r="U224"/>
  <c r="K224"/>
  <c r="AA223"/>
  <c r="U223"/>
  <c r="K223"/>
  <c r="AA222"/>
  <c r="U222"/>
  <c r="K222"/>
  <c r="AA221"/>
  <c r="U221"/>
  <c r="K221"/>
  <c r="AA220"/>
  <c r="U220"/>
  <c r="K220"/>
  <c r="AA219"/>
  <c r="U219"/>
  <c r="K219"/>
  <c r="AA218"/>
  <c r="U218"/>
  <c r="K218"/>
  <c r="AA217"/>
  <c r="U217"/>
  <c r="K217"/>
  <c r="AA216"/>
  <c r="U216"/>
  <c r="K216"/>
  <c r="AA215"/>
  <c r="U215"/>
  <c r="K215"/>
  <c r="AA214"/>
  <c r="U214"/>
  <c r="K214"/>
  <c r="AC214" s="1"/>
  <c r="AA213"/>
  <c r="U213"/>
  <c r="K213"/>
  <c r="AA212"/>
  <c r="U212"/>
  <c r="K212"/>
  <c r="AA211"/>
  <c r="U211"/>
  <c r="K211"/>
  <c r="AA210"/>
  <c r="U210"/>
  <c r="K210"/>
  <c r="AC210" s="1"/>
  <c r="AA207"/>
  <c r="U207"/>
  <c r="K207"/>
  <c r="AA206"/>
  <c r="U206"/>
  <c r="K206"/>
  <c r="AA205"/>
  <c r="U205"/>
  <c r="K205"/>
  <c r="AA204"/>
  <c r="U204"/>
  <c r="K204"/>
  <c r="AA203"/>
  <c r="U203"/>
  <c r="K203"/>
  <c r="AA202"/>
  <c r="U202"/>
  <c r="K202"/>
  <c r="AA201"/>
  <c r="U201"/>
  <c r="K201"/>
  <c r="AA200"/>
  <c r="U200"/>
  <c r="K200"/>
  <c r="AA199"/>
  <c r="U199"/>
  <c r="K199"/>
  <c r="AA198"/>
  <c r="U198"/>
  <c r="K198"/>
  <c r="AA197"/>
  <c r="U197"/>
  <c r="K197"/>
  <c r="AA196"/>
  <c r="U196"/>
  <c r="K196"/>
  <c r="AA195"/>
  <c r="U195"/>
  <c r="K195"/>
  <c r="AA194"/>
  <c r="U194"/>
  <c r="K194"/>
  <c r="AA193"/>
  <c r="U193"/>
  <c r="K193"/>
  <c r="AA192"/>
  <c r="U192"/>
  <c r="K192"/>
  <c r="AA191"/>
  <c r="U191"/>
  <c r="K191"/>
  <c r="AA190"/>
  <c r="U190"/>
  <c r="K190"/>
  <c r="AA189"/>
  <c r="U189"/>
  <c r="K189"/>
  <c r="AA188"/>
  <c r="U188"/>
  <c r="K188"/>
  <c r="AA187"/>
  <c r="U187"/>
  <c r="K187"/>
  <c r="AA186"/>
  <c r="U186"/>
  <c r="K186"/>
  <c r="AA185"/>
  <c r="U185"/>
  <c r="K185"/>
  <c r="AA184"/>
  <c r="U184"/>
  <c r="K184"/>
  <c r="AA183"/>
  <c r="U183"/>
  <c r="K183"/>
  <c r="AA182"/>
  <c r="U182"/>
  <c r="K182"/>
  <c r="AA181"/>
  <c r="U181"/>
  <c r="K181"/>
  <c r="AA180"/>
  <c r="U180"/>
  <c r="K180"/>
  <c r="AA179"/>
  <c r="U179"/>
  <c r="K179"/>
  <c r="AA178"/>
  <c r="U178"/>
  <c r="K178"/>
  <c r="AA177"/>
  <c r="U177"/>
  <c r="K177"/>
  <c r="AA176"/>
  <c r="U176"/>
  <c r="K176"/>
  <c r="AA175"/>
  <c r="U175"/>
  <c r="K175"/>
  <c r="AA174"/>
  <c r="U174"/>
  <c r="K174"/>
  <c r="AA173"/>
  <c r="U173"/>
  <c r="K173"/>
  <c r="AA172"/>
  <c r="U172"/>
  <c r="K172"/>
  <c r="AA171"/>
  <c r="U171"/>
  <c r="K171"/>
  <c r="AA170"/>
  <c r="U170"/>
  <c r="K170"/>
  <c r="U169"/>
  <c r="K169"/>
  <c r="U168"/>
  <c r="K168"/>
  <c r="U167"/>
  <c r="K167"/>
  <c r="U166"/>
  <c r="K166"/>
  <c r="U165"/>
  <c r="K165"/>
  <c r="U164"/>
  <c r="K164"/>
  <c r="U163"/>
  <c r="K163"/>
  <c r="U162"/>
  <c r="K162"/>
  <c r="U160"/>
  <c r="K160"/>
  <c r="U159"/>
  <c r="K159"/>
  <c r="U158"/>
  <c r="K158"/>
  <c r="U157"/>
  <c r="K157"/>
  <c r="U156"/>
  <c r="K156"/>
  <c r="U155"/>
  <c r="K155"/>
  <c r="U154"/>
  <c r="K154"/>
  <c r="U153"/>
  <c r="K153"/>
  <c r="U152"/>
  <c r="K152"/>
  <c r="U151"/>
  <c r="K151"/>
  <c r="U150"/>
  <c r="K150"/>
  <c r="U149"/>
  <c r="K149"/>
  <c r="U148"/>
  <c r="K148"/>
  <c r="U147"/>
  <c r="K147"/>
  <c r="U146"/>
  <c r="K146"/>
  <c r="U145"/>
  <c r="K145"/>
  <c r="U144"/>
  <c r="K144"/>
  <c r="U142"/>
  <c r="K142"/>
  <c r="U141"/>
  <c r="K141"/>
  <c r="U140"/>
  <c r="K140"/>
  <c r="U136"/>
  <c r="K136"/>
  <c r="U135"/>
  <c r="K135"/>
  <c r="U134"/>
  <c r="K134"/>
  <c r="U133"/>
  <c r="K133"/>
  <c r="U132"/>
  <c r="K132"/>
  <c r="U131"/>
  <c r="K131"/>
  <c r="U129"/>
  <c r="K129"/>
  <c r="U128"/>
  <c r="K128"/>
  <c r="U127"/>
  <c r="K127"/>
  <c r="U126"/>
  <c r="K126"/>
  <c r="U125"/>
  <c r="K125"/>
  <c r="U124"/>
  <c r="K124"/>
  <c r="U123"/>
  <c r="K123"/>
  <c r="U122"/>
  <c r="K122"/>
  <c r="U119"/>
  <c r="K119"/>
  <c r="U118"/>
  <c r="K118"/>
  <c r="U117"/>
  <c r="K117"/>
  <c r="U115"/>
  <c r="K115"/>
  <c r="U114"/>
  <c r="K114"/>
  <c r="U113"/>
  <c r="K113"/>
  <c r="U111"/>
  <c r="K111"/>
  <c r="U110"/>
  <c r="K110"/>
  <c r="U109"/>
  <c r="K109"/>
  <c r="U108"/>
  <c r="K108"/>
  <c r="U107"/>
  <c r="K107"/>
  <c r="U106"/>
  <c r="K106"/>
  <c r="U105"/>
  <c r="K105"/>
  <c r="U104"/>
  <c r="K104"/>
  <c r="U103"/>
  <c r="K103"/>
  <c r="U102"/>
  <c r="K102"/>
  <c r="U101"/>
  <c r="K101"/>
  <c r="U100"/>
  <c r="K100"/>
  <c r="U99"/>
  <c r="K99"/>
  <c r="U98"/>
  <c r="K98"/>
  <c r="U97"/>
  <c r="K97"/>
  <c r="U96"/>
  <c r="K96"/>
  <c r="U95"/>
  <c r="K95"/>
  <c r="U94"/>
  <c r="K94"/>
  <c r="U93"/>
  <c r="K93"/>
  <c r="U92"/>
  <c r="K92"/>
  <c r="U91"/>
  <c r="K91"/>
  <c r="U90"/>
  <c r="K90"/>
  <c r="U89"/>
  <c r="K89"/>
  <c r="U88"/>
  <c r="K88"/>
  <c r="U87"/>
  <c r="K87"/>
  <c r="U86"/>
  <c r="K86"/>
  <c r="U85"/>
  <c r="K85"/>
  <c r="U84"/>
  <c r="K84"/>
  <c r="U83"/>
  <c r="K83"/>
  <c r="U82"/>
  <c r="K82"/>
  <c r="K81"/>
  <c r="U80"/>
  <c r="K80"/>
  <c r="U79"/>
  <c r="K79"/>
  <c r="U78"/>
  <c r="K78"/>
  <c r="U77"/>
  <c r="K77"/>
  <c r="U76"/>
  <c r="U75"/>
  <c r="U74"/>
  <c r="U73"/>
  <c r="U70"/>
  <c r="K70"/>
  <c r="U69"/>
  <c r="K69"/>
  <c r="U68"/>
  <c r="K68"/>
  <c r="U67"/>
  <c r="K67"/>
  <c r="U66"/>
  <c r="K66"/>
  <c r="U65"/>
  <c r="K65"/>
  <c r="U64"/>
  <c r="K64"/>
  <c r="U63"/>
  <c r="K63"/>
  <c r="U62"/>
  <c r="K62"/>
  <c r="U61"/>
  <c r="K61"/>
  <c r="U60"/>
  <c r="K60"/>
  <c r="U59"/>
  <c r="K59"/>
  <c r="U58"/>
  <c r="K58"/>
  <c r="U57"/>
  <c r="K57"/>
  <c r="U56"/>
  <c r="K56"/>
  <c r="U55"/>
  <c r="K55"/>
  <c r="U54"/>
  <c r="K54"/>
  <c r="U53"/>
  <c r="K53"/>
  <c r="U52"/>
  <c r="K52"/>
  <c r="U50"/>
  <c r="K50"/>
  <c r="U49"/>
  <c r="K49"/>
  <c r="U48"/>
  <c r="K48"/>
  <c r="U47"/>
  <c r="K47"/>
  <c r="U46"/>
  <c r="K46"/>
  <c r="U45"/>
  <c r="K45"/>
  <c r="U44"/>
  <c r="K44"/>
  <c r="U30"/>
  <c r="K30"/>
  <c r="U28"/>
  <c r="K28"/>
  <c r="U25"/>
  <c r="K25"/>
  <c r="U38"/>
  <c r="K38"/>
  <c r="U37"/>
  <c r="K37"/>
  <c r="U21"/>
  <c r="K21"/>
  <c r="U33"/>
  <c r="K33"/>
  <c r="U32"/>
  <c r="K32"/>
  <c r="U31"/>
  <c r="K31"/>
  <c r="U29"/>
  <c r="K29"/>
  <c r="U27"/>
  <c r="K27"/>
  <c r="U24"/>
  <c r="K24"/>
  <c r="U22"/>
  <c r="K22"/>
  <c r="U20"/>
  <c r="K20"/>
  <c r="U19"/>
  <c r="K19"/>
  <c r="U17"/>
  <c r="K17"/>
  <c r="U16"/>
  <c r="K16"/>
  <c r="U15"/>
  <c r="K15"/>
  <c r="U14"/>
  <c r="K14"/>
  <c r="U13"/>
  <c r="K13"/>
  <c r="U12"/>
  <c r="K12"/>
  <c r="U11"/>
  <c r="K11"/>
  <c r="AC124" i="5" l="1"/>
  <c r="AE124" s="1"/>
  <c r="AI124" s="1"/>
  <c r="AE134"/>
  <c r="AI134" s="1"/>
  <c r="AC399" i="6"/>
  <c r="AC427"/>
  <c r="AC433"/>
  <c r="AC463"/>
  <c r="AC465"/>
  <c r="AC478"/>
  <c r="AC480"/>
  <c r="AC538"/>
  <c r="AC213"/>
  <c r="AC398"/>
  <c r="AC400"/>
  <c r="AC432"/>
  <c r="AC434"/>
  <c r="AC464"/>
  <c r="AC475"/>
  <c r="AC479"/>
  <c r="AC525"/>
  <c r="AC550"/>
  <c r="AC178"/>
  <c r="AC184"/>
  <c r="AC194"/>
  <c r="AC196"/>
  <c r="AC198"/>
  <c r="AC200"/>
  <c r="AC202"/>
  <c r="AC229"/>
  <c r="AC231"/>
  <c r="AC233"/>
  <c r="AC235"/>
  <c r="AC258"/>
  <c r="AC380"/>
  <c r="AC382"/>
  <c r="AC388"/>
  <c r="AC390"/>
  <c r="AC417"/>
  <c r="AC445"/>
  <c r="AC451"/>
  <c r="AC491"/>
  <c r="AC493"/>
  <c r="AC495"/>
  <c r="AC497"/>
  <c r="AC499"/>
  <c r="AC509"/>
  <c r="AC515"/>
  <c r="AC517"/>
  <c r="AC561"/>
  <c r="AC579"/>
  <c r="AC569"/>
  <c r="AC573"/>
  <c r="AC575"/>
  <c r="AC594"/>
  <c r="AC257"/>
  <c r="AC259"/>
  <c r="AC272"/>
  <c r="AC274"/>
  <c r="AC323"/>
  <c r="AC369"/>
  <c r="AC371"/>
  <c r="AC381"/>
  <c r="AC508"/>
  <c r="AC593"/>
  <c r="AC595"/>
  <c r="AC195"/>
  <c r="AC197"/>
  <c r="AC199"/>
  <c r="AC201"/>
  <c r="AC228"/>
  <c r="AC230"/>
  <c r="AC232"/>
  <c r="AC234"/>
  <c r="AC236"/>
  <c r="AC273"/>
  <c r="AC286"/>
  <c r="AC360"/>
  <c r="AC370"/>
  <c r="AC372"/>
  <c r="AC389"/>
  <c r="AC416"/>
  <c r="AC444"/>
  <c r="AC446"/>
  <c r="AC490"/>
  <c r="AC492"/>
  <c r="AC494"/>
  <c r="AC496"/>
  <c r="AC498"/>
  <c r="AC500"/>
  <c r="AC516"/>
  <c r="AC560"/>
  <c r="AC562"/>
  <c r="AC587"/>
  <c r="AC224"/>
  <c r="AC263"/>
  <c r="AC270"/>
  <c r="AC418"/>
  <c r="AC442"/>
  <c r="AC454"/>
  <c r="AC486"/>
  <c r="AC513"/>
  <c r="AC527"/>
  <c r="AC542"/>
  <c r="AC546"/>
  <c r="AC248"/>
  <c r="AC281"/>
  <c r="AC288"/>
  <c r="AC290"/>
  <c r="AC310"/>
  <c r="AC312"/>
  <c r="AC314"/>
  <c r="AC335"/>
  <c r="AC337"/>
  <c r="AC339"/>
  <c r="AC376"/>
  <c r="AC396"/>
  <c r="AC553"/>
  <c r="AC582"/>
  <c r="AC591"/>
  <c r="AC282"/>
  <c r="AC289"/>
  <c r="AC295"/>
  <c r="AC311"/>
  <c r="AC313"/>
  <c r="AC321"/>
  <c r="AC336"/>
  <c r="AC338"/>
  <c r="AC356"/>
  <c r="AC386"/>
  <c r="AC414"/>
  <c r="AC453"/>
  <c r="AC455"/>
  <c r="AC504"/>
  <c r="AC523"/>
  <c r="AC528"/>
  <c r="AC545"/>
  <c r="AC552"/>
  <c r="AC558"/>
  <c r="AC574"/>
  <c r="AC581"/>
  <c r="AC583"/>
  <c r="AC206"/>
  <c r="AC267"/>
  <c r="AC173"/>
  <c r="AC174"/>
  <c r="AC175"/>
  <c r="AC176"/>
  <c r="AC177"/>
  <c r="AC204"/>
  <c r="AC205"/>
  <c r="AC220"/>
  <c r="AC223"/>
  <c r="AC242"/>
  <c r="AC243"/>
  <c r="AC244"/>
  <c r="AC245"/>
  <c r="AC246"/>
  <c r="AC247"/>
  <c r="AC261"/>
  <c r="AC262"/>
  <c r="AC269"/>
  <c r="AC284"/>
  <c r="AC285"/>
  <c r="AC293"/>
  <c r="AC294"/>
  <c r="AC319"/>
  <c r="AC320"/>
  <c r="AC354"/>
  <c r="AC355"/>
  <c r="AC374"/>
  <c r="AC375"/>
  <c r="AC384"/>
  <c r="AC385"/>
  <c r="AC392"/>
  <c r="AC395"/>
  <c r="AC408"/>
  <c r="AC411"/>
  <c r="AC412"/>
  <c r="AC413"/>
  <c r="AC425"/>
  <c r="AC426"/>
  <c r="AC436"/>
  <c r="AC441"/>
  <c r="AC449"/>
  <c r="AC450"/>
  <c r="AC459"/>
  <c r="AC460"/>
  <c r="AC461"/>
  <c r="AC472"/>
  <c r="AC473"/>
  <c r="U474"/>
  <c r="AC474" s="1"/>
  <c r="AC484"/>
  <c r="AC485"/>
  <c r="AC502"/>
  <c r="AC503"/>
  <c r="AC511"/>
  <c r="AC512"/>
  <c r="AC521"/>
  <c r="AC522"/>
  <c r="AC536"/>
  <c r="AC537"/>
  <c r="AC548"/>
  <c r="AC549"/>
  <c r="AC576"/>
  <c r="AC577"/>
  <c r="AC578"/>
  <c r="AC588"/>
  <c r="AC589"/>
  <c r="AC590"/>
  <c r="AC554"/>
  <c r="AC555"/>
  <c r="AC556"/>
  <c r="AC557"/>
  <c r="AC566"/>
  <c r="AC568"/>
  <c r="AC170"/>
  <c r="AC171"/>
  <c r="AC172"/>
  <c r="AC183"/>
  <c r="AC203"/>
  <c r="AC207"/>
  <c r="AC217"/>
  <c r="AC218"/>
  <c r="AC219"/>
  <c r="AC227"/>
  <c r="AC237"/>
  <c r="AC238"/>
  <c r="AC239"/>
  <c r="AC240"/>
  <c r="AC241"/>
  <c r="AC253"/>
  <c r="AC254"/>
  <c r="AC255"/>
  <c r="AC256"/>
  <c r="AC260"/>
  <c r="AC271"/>
  <c r="AC277"/>
  <c r="AC280"/>
  <c r="AC283"/>
  <c r="AC287"/>
  <c r="AC291"/>
  <c r="AC292"/>
  <c r="AC298"/>
  <c r="AC299"/>
  <c r="AC300"/>
  <c r="AC301"/>
  <c r="AC302"/>
  <c r="AC303"/>
  <c r="AC304"/>
  <c r="AC305"/>
  <c r="AC306"/>
  <c r="AC307"/>
  <c r="AC308"/>
  <c r="AC309"/>
  <c r="AC315"/>
  <c r="AC316"/>
  <c r="AC317"/>
  <c r="AC318"/>
  <c r="AC322"/>
  <c r="AC340"/>
  <c r="AC341"/>
  <c r="AC342"/>
  <c r="AC343"/>
  <c r="AC344"/>
  <c r="AC345"/>
  <c r="AC348"/>
  <c r="AC349"/>
  <c r="AC350"/>
  <c r="AC351"/>
  <c r="AC352"/>
  <c r="AC353"/>
  <c r="AC359"/>
  <c r="AC373"/>
  <c r="AC379"/>
  <c r="AC383"/>
  <c r="AC387"/>
  <c r="AC391"/>
  <c r="AC397"/>
  <c r="AC402"/>
  <c r="AC403"/>
  <c r="AC404"/>
  <c r="AC405"/>
  <c r="AC406"/>
  <c r="AC407"/>
  <c r="AC415"/>
  <c r="AC420"/>
  <c r="AC423"/>
  <c r="AC424"/>
  <c r="AC428"/>
  <c r="AC429"/>
  <c r="AC430"/>
  <c r="AC431"/>
  <c r="AC435"/>
  <c r="AC443"/>
  <c r="AC447"/>
  <c r="AC448"/>
  <c r="AC452"/>
  <c r="AC458"/>
  <c r="AC462"/>
  <c r="AC469"/>
  <c r="AC470"/>
  <c r="AC471"/>
  <c r="AC477"/>
  <c r="AC483"/>
  <c r="AC487"/>
  <c r="AC501"/>
  <c r="AC505"/>
  <c r="AC506"/>
  <c r="AC507"/>
  <c r="AC510"/>
  <c r="AC514"/>
  <c r="AC518"/>
  <c r="AC519"/>
  <c r="AC520"/>
  <c r="AC524"/>
  <c r="AC529"/>
  <c r="AC530"/>
  <c r="AC531"/>
  <c r="AC532"/>
  <c r="AC533"/>
  <c r="AC534"/>
  <c r="AC535"/>
  <c r="AC539"/>
  <c r="AC540"/>
  <c r="AC541"/>
  <c r="AC547"/>
  <c r="AC551"/>
  <c r="AC559"/>
  <c r="AC565"/>
  <c r="AC572"/>
  <c r="AC580"/>
  <c r="AC584"/>
  <c r="AC585"/>
  <c r="AC586"/>
  <c r="AC592"/>
  <c r="AC179"/>
  <c r="AC180"/>
  <c r="AC181"/>
  <c r="AC182"/>
  <c r="AC185"/>
  <c r="AC186"/>
  <c r="AC187"/>
  <c r="AC188"/>
  <c r="AC189"/>
  <c r="AC190"/>
  <c r="AC192"/>
  <c r="AC193"/>
  <c r="AC211"/>
  <c r="AC212"/>
  <c r="AC215"/>
  <c r="AC216"/>
  <c r="AC221"/>
  <c r="AC222"/>
  <c r="AC225"/>
  <c r="AC226"/>
  <c r="AC249"/>
  <c r="AC250"/>
  <c r="AC251"/>
  <c r="AC252"/>
  <c r="AC264"/>
  <c r="AC265"/>
  <c r="AC266"/>
  <c r="AC275"/>
  <c r="AC276"/>
  <c r="AC296"/>
  <c r="AC297"/>
  <c r="AC324"/>
  <c r="AC325"/>
  <c r="AC326"/>
  <c r="AC327"/>
  <c r="AC328"/>
  <c r="AC329"/>
  <c r="AC330"/>
  <c r="AC331"/>
  <c r="AC332"/>
  <c r="AC333"/>
  <c r="AC334"/>
  <c r="AC357"/>
  <c r="AC358"/>
  <c r="AC361"/>
  <c r="AC362"/>
  <c r="AC363"/>
  <c r="AC364"/>
  <c r="AC365"/>
  <c r="AC366"/>
  <c r="AC367"/>
  <c r="AC368"/>
  <c r="AC377"/>
  <c r="AC378"/>
  <c r="AC393"/>
  <c r="AC394"/>
  <c r="AC401"/>
  <c r="AC409"/>
  <c r="AC410"/>
  <c r="AC419"/>
  <c r="AC437"/>
  <c r="AC438"/>
  <c r="AC439"/>
  <c r="AC440"/>
  <c r="AC456"/>
  <c r="AC457"/>
  <c r="AC466"/>
  <c r="AC467"/>
  <c r="AC468"/>
  <c r="AC476"/>
  <c r="AC481"/>
  <c r="AC482"/>
  <c r="AC526"/>
  <c r="AC543"/>
  <c r="AC544"/>
  <c r="AC567"/>
  <c r="AC570"/>
  <c r="AC571"/>
  <c r="AC191"/>
  <c r="AA252"/>
  <c r="K268"/>
  <c r="AF290" i="3"/>
  <c r="AF48"/>
  <c r="AF199"/>
  <c r="AH182" i="4"/>
  <c r="AH204"/>
  <c r="AF17" i="2"/>
  <c r="AH10" i="1"/>
  <c r="AH12"/>
  <c r="AH14"/>
  <c r="AH15"/>
  <c r="AH11"/>
  <c r="AH13"/>
  <c r="AH18"/>
  <c r="AH17"/>
  <c r="AH9"/>
  <c r="AF16" i="2"/>
  <c r="AH16" i="1"/>
  <c r="AF280" i="3"/>
  <c r="AH286" i="4"/>
  <c r="AF279" i="3"/>
  <c r="AH285" i="4"/>
  <c r="AF277" i="3"/>
  <c r="AF268"/>
  <c r="AF264"/>
  <c r="AH270" i="4"/>
  <c r="AH269"/>
  <c r="AH265"/>
  <c r="AF254" i="3"/>
  <c r="AH237" i="4"/>
  <c r="AH236"/>
  <c r="AF232" i="3"/>
  <c r="AF231"/>
  <c r="AF16"/>
  <c r="AH221" i="4"/>
  <c r="AH216"/>
  <c r="AF202" i="3"/>
  <c r="AF12"/>
  <c r="AF200"/>
  <c r="AH205" i="4"/>
  <c r="AF197" i="3"/>
  <c r="AH202" i="4"/>
  <c r="AF192" i="3"/>
  <c r="AH197" i="4"/>
  <c r="AF185" i="3"/>
  <c r="AF179"/>
  <c r="AH184" i="4"/>
  <c r="AF144" i="3"/>
  <c r="AF146" i="2"/>
  <c r="AF139" i="3"/>
  <c r="AF123"/>
  <c r="AF120" i="2"/>
  <c r="AH300" i="4"/>
  <c r="AO111" i="2"/>
  <c r="AH10" i="4"/>
  <c r="AF9" i="3"/>
  <c r="AF9" i="2"/>
  <c r="AH67" i="4"/>
  <c r="AF64" i="3"/>
  <c r="AH65" i="4"/>
  <c r="AF51" i="3"/>
  <c r="AF196"/>
  <c r="AF193"/>
  <c r="AF191"/>
  <c r="AF18"/>
  <c r="AF181"/>
  <c r="AF177"/>
  <c r="AH201" i="4"/>
  <c r="AH198"/>
  <c r="AH196"/>
  <c r="AH19"/>
  <c r="AH190"/>
  <c r="AH186"/>
  <c r="AF18" i="2"/>
  <c r="AF175" i="3"/>
  <c r="AF170"/>
  <c r="AF159"/>
  <c r="AF158"/>
  <c r="AF156"/>
  <c r="AF155"/>
  <c r="AF154"/>
  <c r="AF153"/>
  <c r="AF152"/>
  <c r="AF151"/>
  <c r="AF145"/>
  <c r="AF135"/>
  <c r="AF132"/>
  <c r="AF128"/>
  <c r="AF125"/>
  <c r="AF122"/>
  <c r="AH180" i="4"/>
  <c r="AF177" i="2"/>
  <c r="AF163"/>
  <c r="AF161"/>
  <c r="AF160"/>
  <c r="AF156"/>
  <c r="AF155"/>
  <c r="AF154"/>
  <c r="AF153"/>
  <c r="AF147"/>
  <c r="AF137"/>
  <c r="AF134"/>
  <c r="AF130"/>
  <c r="AF127"/>
  <c r="AF125"/>
  <c r="AF124"/>
  <c r="AF120" i="3"/>
  <c r="AF118"/>
  <c r="AF117"/>
  <c r="AF17"/>
  <c r="AF110"/>
  <c r="AF109"/>
  <c r="AF106"/>
  <c r="AF102"/>
  <c r="AF275"/>
  <c r="AF98"/>
  <c r="AF97"/>
  <c r="AF96"/>
  <c r="AF85"/>
  <c r="AF83"/>
  <c r="AF82"/>
  <c r="AF79"/>
  <c r="AF78"/>
  <c r="AF77"/>
  <c r="AF75"/>
  <c r="AF73"/>
  <c r="AF72"/>
  <c r="AF70"/>
  <c r="AF66"/>
  <c r="AF65"/>
  <c r="AF62"/>
  <c r="AF58"/>
  <c r="AF56"/>
  <c r="AF55"/>
  <c r="AF50"/>
  <c r="AF42"/>
  <c r="AF41"/>
  <c r="AF39"/>
  <c r="AF38"/>
  <c r="AF37"/>
  <c r="AF35"/>
  <c r="AF33"/>
  <c r="AF29"/>
  <c r="AF25"/>
  <c r="AH18" i="4"/>
  <c r="AH281"/>
  <c r="AH86"/>
  <c r="AH84"/>
  <c r="AH83"/>
  <c r="AH80"/>
  <c r="AH79"/>
  <c r="AH78"/>
  <c r="AH76"/>
  <c r="AH74"/>
  <c r="AH73"/>
  <c r="AH71"/>
  <c r="AH66"/>
  <c r="AH63"/>
  <c r="AH59"/>
  <c r="AH56"/>
  <c r="AH51"/>
  <c r="AH49"/>
  <c r="AH43"/>
  <c r="AH42"/>
  <c r="AH40"/>
  <c r="AH36"/>
  <c r="AH34"/>
  <c r="AH30"/>
  <c r="AH26"/>
  <c r="AF122" i="2"/>
  <c r="AF119"/>
  <c r="AF112"/>
  <c r="AF111"/>
  <c r="AF108"/>
  <c r="AF104"/>
  <c r="AF100"/>
  <c r="AF99"/>
  <c r="AF304" i="3"/>
  <c r="AF301"/>
  <c r="AF299"/>
  <c r="AF297"/>
  <c r="AF288"/>
  <c r="AF287"/>
  <c r="AF286"/>
  <c r="AF10"/>
  <c r="AF282"/>
  <c r="AF281"/>
  <c r="AF278"/>
  <c r="AF273"/>
  <c r="AF270"/>
  <c r="AF265"/>
  <c r="AF14"/>
  <c r="AF263"/>
  <c r="AF260"/>
  <c r="AF259"/>
  <c r="AF258"/>
  <c r="AF255"/>
  <c r="AF253"/>
  <c r="AF248"/>
  <c r="AF247"/>
  <c r="AF233"/>
  <c r="AF229"/>
  <c r="AF222"/>
  <c r="AF15"/>
  <c r="AF216"/>
  <c r="AF11"/>
  <c r="AF214"/>
  <c r="AF213"/>
  <c r="AF211"/>
  <c r="AF209"/>
  <c r="AF13"/>
  <c r="AF206"/>
  <c r="AH310" i="4"/>
  <c r="AH307"/>
  <c r="AH305"/>
  <c r="AH303"/>
  <c r="AH296"/>
  <c r="AH294"/>
  <c r="AH292"/>
  <c r="AH11"/>
  <c r="AH288"/>
  <c r="AH287"/>
  <c r="AH283"/>
  <c r="AH284"/>
  <c r="AH279"/>
  <c r="AH276"/>
  <c r="AH274"/>
  <c r="AH271"/>
  <c r="AH15"/>
  <c r="AH266"/>
  <c r="AH264"/>
  <c r="AH261"/>
  <c r="AH260"/>
  <c r="AH259"/>
  <c r="AH254"/>
  <c r="AH243"/>
  <c r="AH234"/>
  <c r="AH17"/>
  <c r="AH228"/>
  <c r="AH16"/>
  <c r="AH12"/>
  <c r="AH219"/>
  <c r="AH218"/>
  <c r="AH214"/>
  <c r="AH14"/>
  <c r="AH211"/>
  <c r="AH13"/>
  <c r="AF10" i="2"/>
  <c r="AF14"/>
  <c r="AF255"/>
  <c r="AF15"/>
  <c r="AF11"/>
  <c r="AF13"/>
  <c r="AF12"/>
  <c r="AF294" i="3"/>
  <c r="AH52" i="4"/>
  <c r="AH22"/>
  <c r="AH207"/>
  <c r="AF141" i="2"/>
  <c r="AA268" i="6" l="1"/>
  <c r="AC268"/>
</calcChain>
</file>

<file path=xl/sharedStrings.xml><?xml version="1.0" encoding="utf-8"?>
<sst xmlns="http://schemas.openxmlformats.org/spreadsheetml/2006/main" count="3455" uniqueCount="639">
  <si>
    <t>Other</t>
  </si>
  <si>
    <t>Miscellaneous</t>
  </si>
  <si>
    <t>Supplies</t>
  </si>
  <si>
    <t>Entity Name</t>
  </si>
  <si>
    <t>County</t>
  </si>
  <si>
    <t>(Continued)</t>
  </si>
  <si>
    <t>Library</t>
  </si>
  <si>
    <t>Lane Public Library</t>
  </si>
  <si>
    <t>Butler</t>
  </si>
  <si>
    <t>London Public Library</t>
  </si>
  <si>
    <t>Madison</t>
  </si>
  <si>
    <t>Belmont</t>
  </si>
  <si>
    <t>Mentor Public Library</t>
  </si>
  <si>
    <t>Lake</t>
  </si>
  <si>
    <t>Knox</t>
  </si>
  <si>
    <t>Geauga</t>
  </si>
  <si>
    <t>Euclid Public Library</t>
  </si>
  <si>
    <t>Cuyahoga</t>
  </si>
  <si>
    <t>Medina</t>
  </si>
  <si>
    <t>Barnesville Public Library</t>
  </si>
  <si>
    <t>Summit</t>
  </si>
  <si>
    <t>Portsmouth Public Library</t>
  </si>
  <si>
    <t>Scioto</t>
  </si>
  <si>
    <t>Stark</t>
  </si>
  <si>
    <t>Tuscarawas</t>
  </si>
  <si>
    <t>Washington</t>
  </si>
  <si>
    <t>Total</t>
  </si>
  <si>
    <t>Services</t>
  </si>
  <si>
    <t>Capital</t>
  </si>
  <si>
    <t>Property and</t>
  </si>
  <si>
    <t>Assets</t>
  </si>
  <si>
    <t>Brown County Public Library</t>
  </si>
  <si>
    <t>Girard Free Library</t>
  </si>
  <si>
    <t>Gnadenhutten Public Library</t>
  </si>
  <si>
    <t>Herrick Memorial Library</t>
  </si>
  <si>
    <t>Hurt Battelle Memorial Library</t>
  </si>
  <si>
    <t>Wauseon Public Library</t>
  </si>
  <si>
    <t>Wickliffe Public Library</t>
  </si>
  <si>
    <t>Adams</t>
  </si>
  <si>
    <t>Licking</t>
  </si>
  <si>
    <t>Fulton</t>
  </si>
  <si>
    <t>Ashtabula</t>
  </si>
  <si>
    <t>Auglaize</t>
  </si>
  <si>
    <t>Seneca</t>
  </si>
  <si>
    <t>Harrison</t>
  </si>
  <si>
    <t>Brown</t>
  </si>
  <si>
    <t>Carroll</t>
  </si>
  <si>
    <t>Ross</t>
  </si>
  <si>
    <t>Mercer</t>
  </si>
  <si>
    <t>Columbiana</t>
  </si>
  <si>
    <t>Crawford</t>
  </si>
  <si>
    <t>Miami</t>
  </si>
  <si>
    <t>Warren</t>
  </si>
  <si>
    <t>Montgomery</t>
  </si>
  <si>
    <t>Trumbull</t>
  </si>
  <si>
    <t>Lorain</t>
  </si>
  <si>
    <t>Highland</t>
  </si>
  <si>
    <t>Morgan</t>
  </si>
  <si>
    <t>Henry</t>
  </si>
  <si>
    <t>Hardin</t>
  </si>
  <si>
    <t>Champaign</t>
  </si>
  <si>
    <t>Wyandot</t>
  </si>
  <si>
    <t>Monroe</t>
  </si>
  <si>
    <t>Wood</t>
  </si>
  <si>
    <t>Perry</t>
  </si>
  <si>
    <t>Fairfield</t>
  </si>
  <si>
    <t>Morrow</t>
  </si>
  <si>
    <t>Clinton</t>
  </si>
  <si>
    <t>Delaware</t>
  </si>
  <si>
    <t>Alexandria Public Library</t>
  </si>
  <si>
    <t>Coldwater Public Library</t>
  </si>
  <si>
    <t xml:space="preserve">Ada Public Library </t>
  </si>
  <si>
    <t xml:space="preserve">Adams County Public Library </t>
  </si>
  <si>
    <t xml:space="preserve">Alger Public Library </t>
  </si>
  <si>
    <t>Amherst Public Library</t>
  </si>
  <si>
    <t>Amos Memorial Public Library</t>
  </si>
  <si>
    <t>Shelby</t>
  </si>
  <si>
    <t>Andover Public Library</t>
  </si>
  <si>
    <t xml:space="preserve">Arcanum Public Library </t>
  </si>
  <si>
    <t>Darke</t>
  </si>
  <si>
    <t>Ashland Public Library</t>
  </si>
  <si>
    <t>Ashland</t>
  </si>
  <si>
    <t>Avon Lake Public Library</t>
  </si>
  <si>
    <t xml:space="preserve">Bellaire Public Library </t>
  </si>
  <si>
    <t>Belle Center Free Public Library</t>
  </si>
  <si>
    <t>Logan</t>
  </si>
  <si>
    <t>Bellevue Public Library</t>
  </si>
  <si>
    <t>Huron</t>
  </si>
  <si>
    <t>Bettsville Public Library</t>
  </si>
  <si>
    <t>Bexley Pubilce Library</t>
  </si>
  <si>
    <t>Franklin</t>
  </si>
  <si>
    <t>Birchard Public Library</t>
  </si>
  <si>
    <t>Sandusky</t>
  </si>
  <si>
    <t>Blanchester Public Library</t>
  </si>
  <si>
    <t xml:space="preserve">Bliss Memorial Public Library </t>
  </si>
  <si>
    <t>Allen</t>
  </si>
  <si>
    <t xml:space="preserve">Bowerston Library </t>
  </si>
  <si>
    <t xml:space="preserve">Bradford Public Library </t>
  </si>
  <si>
    <t>Bristol Public Library</t>
  </si>
  <si>
    <t>Brown Memorial Public Library</t>
  </si>
  <si>
    <t>Preble</t>
  </si>
  <si>
    <t>Bucyrus Public Library</t>
  </si>
  <si>
    <t xml:space="preserve">Burton Public Library </t>
  </si>
  <si>
    <t xml:space="preserve">Caldwell Public Library </t>
  </si>
  <si>
    <t>Noble</t>
  </si>
  <si>
    <t xml:space="preserve">Canal Fulton Public Library </t>
  </si>
  <si>
    <t>Cardington-Lincoln Village Public</t>
  </si>
  <si>
    <t>Carnegie Public Library</t>
  </si>
  <si>
    <t>Fayette</t>
  </si>
  <si>
    <t>Centerburg Public Library</t>
  </si>
  <si>
    <t xml:space="preserve">Chillicothe &amp; Ross Cty. Public Library </t>
  </si>
  <si>
    <t>Clark County Public Library</t>
  </si>
  <si>
    <t>Clark</t>
  </si>
  <si>
    <t>Clermont County Public Library</t>
  </si>
  <si>
    <t>Clermont</t>
  </si>
  <si>
    <t>Clyde Public Library</t>
  </si>
  <si>
    <t>Columbus Metropolitan Public Library</t>
  </si>
  <si>
    <t>Conneaut Public Library</t>
  </si>
  <si>
    <t>Coshocton Public Library</t>
  </si>
  <si>
    <t>Coshocton</t>
  </si>
  <si>
    <t xml:space="preserve">Crestline Public Library </t>
  </si>
  <si>
    <t>Cuyahoga Co. Public Library</t>
  </si>
  <si>
    <t xml:space="preserve">Dayton Metro Library </t>
  </si>
  <si>
    <t>Defiance Public Library</t>
  </si>
  <si>
    <t>Defiance</t>
  </si>
  <si>
    <t>Delaware County District Library</t>
  </si>
  <si>
    <t xml:space="preserve">Delphos Public Library </t>
  </si>
  <si>
    <t xml:space="preserve">Delta Public Library </t>
  </si>
  <si>
    <t>Dorcas Carey Public Library</t>
  </si>
  <si>
    <t>Dover Public Library</t>
  </si>
  <si>
    <t>Gallia</t>
  </si>
  <si>
    <t>Dr. Sloan Library</t>
  </si>
  <si>
    <t>East Palestine Memorial Public Library</t>
  </si>
  <si>
    <t>Elyria Public Library</t>
  </si>
  <si>
    <t xml:space="preserve">Evergreen Community Library </t>
  </si>
  <si>
    <t>Fairport Harbor Public Library</t>
  </si>
  <si>
    <t>Findlay-Hancock Co. Public Library</t>
  </si>
  <si>
    <t>Hancock</t>
  </si>
  <si>
    <t xml:space="preserve">Forest-Jackson Public Library </t>
  </si>
  <si>
    <t>Fort Recovery Public Library</t>
  </si>
  <si>
    <t xml:space="preserve">Franklin Public Library </t>
  </si>
  <si>
    <t xml:space="preserve">Galion Public Library </t>
  </si>
  <si>
    <t>Garnet A.Wilson Public Library</t>
  </si>
  <si>
    <t>Pike</t>
  </si>
  <si>
    <t>Geauga County Public Library</t>
  </si>
  <si>
    <t xml:space="preserve">Germantown Public Library </t>
  </si>
  <si>
    <t xml:space="preserve">Grafton-Midview Public Library </t>
  </si>
  <si>
    <t>Grandview Heights Public Library</t>
  </si>
  <si>
    <t>Granville Public Library</t>
  </si>
  <si>
    <t>Greene Co. Public Library</t>
  </si>
  <si>
    <t>Greene</t>
  </si>
  <si>
    <t xml:space="preserve">Greenville Public Library </t>
  </si>
  <si>
    <t>Guernsey</t>
  </si>
  <si>
    <t xml:space="preserve">Harbor-Topky Memorial Library </t>
  </si>
  <si>
    <t>Hardin Northern Public Library</t>
  </si>
  <si>
    <t>Harris Elmore Public Library</t>
  </si>
  <si>
    <t>Ottawa</t>
  </si>
  <si>
    <t>Herbert Wescoat Memorial Library</t>
  </si>
  <si>
    <t>Vinton</t>
  </si>
  <si>
    <t xml:space="preserve">Highland Co Library </t>
  </si>
  <si>
    <t>Holgate Community Library</t>
  </si>
  <si>
    <t>Holmes</t>
  </si>
  <si>
    <t>Hubbard Library</t>
  </si>
  <si>
    <t>Hudson Library &amp; Historic Society</t>
  </si>
  <si>
    <t>Huron Public Library</t>
  </si>
  <si>
    <t>Erie</t>
  </si>
  <si>
    <t>Ida Rupp Public Library</t>
  </si>
  <si>
    <t xml:space="preserve">Jackson City Library </t>
  </si>
  <si>
    <t>Jackson</t>
  </si>
  <si>
    <t>Kaubish Memorial Public Library</t>
  </si>
  <si>
    <t xml:space="preserve">Kent Free Library </t>
  </si>
  <si>
    <t>Portage</t>
  </si>
  <si>
    <t xml:space="preserve">Kingsville Library </t>
  </si>
  <si>
    <t xml:space="preserve">Kinsman Free Public Library </t>
  </si>
  <si>
    <t xml:space="preserve">Kirtland Public Library </t>
  </si>
  <si>
    <t xml:space="preserve">Lebanon Public Library </t>
  </si>
  <si>
    <t xml:space="preserve">Lepper Library </t>
  </si>
  <si>
    <t xml:space="preserve">Liberty Center Library </t>
  </si>
  <si>
    <t>Lima Public Library</t>
  </si>
  <si>
    <t>Hocking</t>
  </si>
  <si>
    <t>Lorain Public Library</t>
  </si>
  <si>
    <t>Loudonville Public Library</t>
  </si>
  <si>
    <t>Madison Public Library</t>
  </si>
  <si>
    <t>Richland</t>
  </si>
  <si>
    <t xml:space="preserve">Marion Lawrence Memorial Library </t>
  </si>
  <si>
    <t>Marion Public Library</t>
  </si>
  <si>
    <t>Marion</t>
  </si>
  <si>
    <t xml:space="preserve">Marvin Memorial Library </t>
  </si>
  <si>
    <t xml:space="preserve">Mary L. Cook Public Library </t>
  </si>
  <si>
    <t xml:space="preserve">Mary Lou Johnson-Hardin Library </t>
  </si>
  <si>
    <t>Marysville Public Library</t>
  </si>
  <si>
    <t>Union</t>
  </si>
  <si>
    <t xml:space="preserve">Mason Public Library </t>
  </si>
  <si>
    <t>Massillon Public Library</t>
  </si>
  <si>
    <t xml:space="preserve">Mechanicsburg Library </t>
  </si>
  <si>
    <t>Middletown Public Library</t>
  </si>
  <si>
    <t xml:space="preserve">Milan-Berlin Library </t>
  </si>
  <si>
    <t xml:space="preserve">Milton Union Library </t>
  </si>
  <si>
    <t xml:space="preserve">Minerva Public Library </t>
  </si>
  <si>
    <t>Molo Regional Library System</t>
  </si>
  <si>
    <t>Monroeville Public Library</t>
  </si>
  <si>
    <t>Montpelier Public Library</t>
  </si>
  <si>
    <t>Williams</t>
  </si>
  <si>
    <t>Morely Library</t>
  </si>
  <si>
    <t>Mount Gilead Public Library</t>
  </si>
  <si>
    <t xml:space="preserve">Mount Sterling Public Library </t>
  </si>
  <si>
    <t>Muskingum Co. Library</t>
  </si>
  <si>
    <t>Muskingum</t>
  </si>
  <si>
    <t>Athens</t>
  </si>
  <si>
    <t xml:space="preserve">New Madison Library </t>
  </si>
  <si>
    <t xml:space="preserve">Newcomerstown Library </t>
  </si>
  <si>
    <t>Newton Falls Public Library</t>
  </si>
  <si>
    <t>Nola Regional Library</t>
  </si>
  <si>
    <t>Mahoning</t>
  </si>
  <si>
    <t xml:space="preserve">Normal Memorial Library </t>
  </si>
  <si>
    <t xml:space="preserve">North Baltimore Library </t>
  </si>
  <si>
    <t>North Canton Public Library</t>
  </si>
  <si>
    <t xml:space="preserve">Norwalk Public Library </t>
  </si>
  <si>
    <t>Oak Harbor Public Library</t>
  </si>
  <si>
    <t>Oak Hill Public Library</t>
  </si>
  <si>
    <t>Oberlin Public Library</t>
  </si>
  <si>
    <t>Ohio Vally Area Libraris</t>
  </si>
  <si>
    <t>Orrville Public Library</t>
  </si>
  <si>
    <t>Wayne</t>
  </si>
  <si>
    <t xml:space="preserve">Pataskala Public Library </t>
  </si>
  <si>
    <t>Patrick Henry School District Library</t>
  </si>
  <si>
    <t>Paulding County Carnegie Library</t>
  </si>
  <si>
    <t>Paulding</t>
  </si>
  <si>
    <t>Paulding County Law Library</t>
  </si>
  <si>
    <t>Pemberville Public Library</t>
  </si>
  <si>
    <t xml:space="preserve">Peninsula Library </t>
  </si>
  <si>
    <t>Perry Cook Memorial Public Library</t>
  </si>
  <si>
    <t xml:space="preserve">Perry Public Library </t>
  </si>
  <si>
    <t>Pickaway County Public Library</t>
  </si>
  <si>
    <t>Pickaway</t>
  </si>
  <si>
    <t xml:space="preserve">Plain City Public Library </t>
  </si>
  <si>
    <t xml:space="preserve">Puskarich Public Library </t>
  </si>
  <si>
    <t xml:space="preserve">Reed Memorial Library </t>
  </si>
  <si>
    <t>Reuben Mcmillan Free Library</t>
  </si>
  <si>
    <t>Richwood-North Union Public Library</t>
  </si>
  <si>
    <t>Ritter Public Library</t>
  </si>
  <si>
    <t xml:space="preserve">Rock Creek Library </t>
  </si>
  <si>
    <t>Rocky River Public Library</t>
  </si>
  <si>
    <t>Rodman Public Library</t>
  </si>
  <si>
    <t>Rossford Public Library</t>
  </si>
  <si>
    <t xml:space="preserve">Sabina Library </t>
  </si>
  <si>
    <t>Salem Public Library</t>
  </si>
  <si>
    <t>Salem Township Public Library</t>
  </si>
  <si>
    <t xml:space="preserve">Selover Public Library </t>
  </si>
  <si>
    <t xml:space="preserve">Seneca East Public Library </t>
  </si>
  <si>
    <t xml:space="preserve">Shaker Heights Public Library </t>
  </si>
  <si>
    <t>Solo Regional Library</t>
  </si>
  <si>
    <t>Southwest Public Library</t>
  </si>
  <si>
    <t>Stark Co. District Library</t>
  </si>
  <si>
    <t>Steubenville Public Library</t>
  </si>
  <si>
    <t>Jefferson</t>
  </si>
  <si>
    <t>Stow-Munroe Falls Public Library</t>
  </si>
  <si>
    <t xml:space="preserve">Swanton Public Library </t>
  </si>
  <si>
    <t xml:space="preserve">Sylvester Memor Library </t>
  </si>
  <si>
    <t>Taylor Memorial Library</t>
  </si>
  <si>
    <t>Tiffin-Seneca Public Library</t>
  </si>
  <si>
    <t>Toledo-Lucas Co. Public Library</t>
  </si>
  <si>
    <t>Lucus</t>
  </si>
  <si>
    <t>Tuscarawas Co. Public Library</t>
  </si>
  <si>
    <t>Union Township Public Library</t>
  </si>
  <si>
    <t>Upper Arlington Public Library</t>
  </si>
  <si>
    <t>Upper Sandusky Comm. Library</t>
  </si>
  <si>
    <t>Washington-Centerville Public Library</t>
  </si>
  <si>
    <t>Wayne Co. Public Library</t>
  </si>
  <si>
    <t>Wayne Public Library</t>
  </si>
  <si>
    <t>Way-Perrysburg Public Library</t>
  </si>
  <si>
    <t xml:space="preserve">Wellsville Carnegie Library </t>
  </si>
  <si>
    <t xml:space="preserve">Weston Public Library </t>
  </si>
  <si>
    <t>Willard Memorial Library</t>
  </si>
  <si>
    <t>Willoughby-Eastlake Public Library</t>
  </si>
  <si>
    <t xml:space="preserve">Wilmington Public Library </t>
  </si>
  <si>
    <t xml:space="preserve">Worch Memorial Public Library </t>
  </si>
  <si>
    <t>Worthington Public Library</t>
  </si>
  <si>
    <t>Wright Memorial Public Library</t>
  </si>
  <si>
    <t>Local Taxes</t>
  </si>
  <si>
    <t>Library and</t>
  </si>
  <si>
    <t>Local</t>
  </si>
  <si>
    <t>Government</t>
  </si>
  <si>
    <t>Support</t>
  </si>
  <si>
    <t>Patrons Fines</t>
  </si>
  <si>
    <t>and Fees</t>
  </si>
  <si>
    <t>Provided to</t>
  </si>
  <si>
    <t>Contributions,</t>
  </si>
  <si>
    <t>Gifts, and</t>
  </si>
  <si>
    <t>Donations</t>
  </si>
  <si>
    <t>Earnings on</t>
  </si>
  <si>
    <t>Investments</t>
  </si>
  <si>
    <t xml:space="preserve">Sale of </t>
  </si>
  <si>
    <t>Fixed</t>
  </si>
  <si>
    <t>Financing</t>
  </si>
  <si>
    <t>Sources</t>
  </si>
  <si>
    <t xml:space="preserve">Archbold Community Library </t>
  </si>
  <si>
    <t>Bexley Public Library</t>
  </si>
  <si>
    <t xml:space="preserve">Bluffton-Richland Library </t>
  </si>
  <si>
    <t xml:space="preserve">Claymont School District Public Library </t>
  </si>
  <si>
    <t xml:space="preserve">Dr. Samuel Bossard Memorial. Library </t>
  </si>
  <si>
    <t>Garnet A. Wilson Public Library</t>
  </si>
  <si>
    <t xml:space="preserve">Grand Valley Public Library </t>
  </si>
  <si>
    <t xml:space="preserve">Henderson Memorial Library </t>
  </si>
  <si>
    <t xml:space="preserve">Homer-Burlington Library </t>
  </si>
  <si>
    <t xml:space="preserve">Leetonia Community Library </t>
  </si>
  <si>
    <t xml:space="preserve">Louisville Public Library </t>
  </si>
  <si>
    <t xml:space="preserve">Mohawk Community Library </t>
  </si>
  <si>
    <t>Napoleon Area School Public</t>
  </si>
  <si>
    <t>Ohio Valley Area Library</t>
  </si>
  <si>
    <t xml:space="preserve">Pickerington Public Library </t>
  </si>
  <si>
    <t>Reuben McMillan Free Library</t>
  </si>
  <si>
    <t xml:space="preserve">Ridgemont Public Library </t>
  </si>
  <si>
    <t>Sandusky Library</t>
  </si>
  <si>
    <t xml:space="preserve">St. Clairsville Library </t>
  </si>
  <si>
    <t xml:space="preserve">Sylvester Memorial Library </t>
  </si>
  <si>
    <t>Lucas</t>
  </si>
  <si>
    <t>Twinsburg Public Library</t>
  </si>
  <si>
    <t xml:space="preserve">Wornstaff Memorial Library </t>
  </si>
  <si>
    <t>Purchased and</t>
  </si>
  <si>
    <t>Contracted</t>
  </si>
  <si>
    <t>Materials and</t>
  </si>
  <si>
    <t>Information</t>
  </si>
  <si>
    <t>Outlay</t>
  </si>
  <si>
    <t xml:space="preserve">Redemption of </t>
  </si>
  <si>
    <t>Principal</t>
  </si>
  <si>
    <t>Interest and</t>
  </si>
  <si>
    <t>Other Fiscal</t>
  </si>
  <si>
    <t>Charges</t>
  </si>
  <si>
    <t>Uses</t>
  </si>
  <si>
    <t xml:space="preserve">Napoleon Area School </t>
  </si>
  <si>
    <t xml:space="preserve">Ashtabula Co District Library </t>
  </si>
  <si>
    <t xml:space="preserve">Dr. Samuel Bossard Memorial Library </t>
  </si>
  <si>
    <t>Hudson Library &amp; Historical Society</t>
  </si>
  <si>
    <t xml:space="preserve">Kate Love Simpson Library </t>
  </si>
  <si>
    <t xml:space="preserve">J.R. Clarke Public Library </t>
  </si>
  <si>
    <t xml:space="preserve">McComb Public Library </t>
  </si>
  <si>
    <t>New London Library</t>
  </si>
  <si>
    <t>Ohio Valley Area Libraries</t>
  </si>
  <si>
    <t xml:space="preserve">Rockford Carnegie Library </t>
  </si>
  <si>
    <t xml:space="preserve">St. Marys Community Public Library </t>
  </si>
  <si>
    <t>Upper Sandusky Community Library</t>
  </si>
  <si>
    <t>Washington Co. Public Library</t>
  </si>
  <si>
    <t xml:space="preserve">Saint Paris Public Library </t>
  </si>
  <si>
    <t>Intergovern-</t>
  </si>
  <si>
    <t>mental</t>
  </si>
  <si>
    <t>Program Receipts</t>
  </si>
  <si>
    <t>General Receipts</t>
  </si>
  <si>
    <t>Monrow</t>
  </si>
  <si>
    <t>Adams County Public Library</t>
  </si>
  <si>
    <t>Archbold Community Library</t>
  </si>
  <si>
    <t>Ashtabula Co. District Library</t>
  </si>
  <si>
    <t>Auglaize Co. District Library</t>
  </si>
  <si>
    <t>Barberton Public Library</t>
  </si>
  <si>
    <t>Bellaire Public Library</t>
  </si>
  <si>
    <t>Bowerston Library</t>
  </si>
  <si>
    <t>Carroll Co. District Library</t>
  </si>
  <si>
    <t>Chillicothe &amp; Ross Co.. Public Library</t>
  </si>
  <si>
    <t>Claymont School District Public Library</t>
  </si>
  <si>
    <t>Community Library</t>
  </si>
  <si>
    <t>Crestline Public Library</t>
  </si>
  <si>
    <t>Flesh Public Library</t>
  </si>
  <si>
    <t>Evergreen Community Library</t>
  </si>
  <si>
    <t>Franklin Public Library</t>
  </si>
  <si>
    <t>Galion Public Library</t>
  </si>
  <si>
    <t>Germantown Public Library</t>
  </si>
  <si>
    <t>Highland Co. Library</t>
  </si>
  <si>
    <t>Kate Love Simps Library</t>
  </si>
  <si>
    <t>Lebanon Public Library</t>
  </si>
  <si>
    <t>Leetonia Common Library</t>
  </si>
  <si>
    <t>Jackson City Library</t>
  </si>
  <si>
    <t>Grafton-Midview Public Library</t>
  </si>
  <si>
    <t>Mary L. Cook Public Library</t>
  </si>
  <si>
    <t>Mary Lou Johnson-Hardin Library</t>
  </si>
  <si>
    <t>Mason Public Library</t>
  </si>
  <si>
    <t>Mechanicsburg Library</t>
  </si>
  <si>
    <t>Minerva Public Library</t>
  </si>
  <si>
    <t>Monroe County D Library</t>
  </si>
  <si>
    <t>North Baltimore Library</t>
  </si>
  <si>
    <t>Peninsula Library</t>
  </si>
  <si>
    <t>Perry Co Dist Library</t>
  </si>
  <si>
    <t>Plain City Public Library</t>
  </si>
  <si>
    <t>Marvin Memorial Library</t>
  </si>
  <si>
    <t>Mount Sterling Public Library</t>
  </si>
  <si>
    <t>Puskarich Public Library</t>
  </si>
  <si>
    <t>Ridgemont Public Library</t>
  </si>
  <si>
    <t>Rock Creek Library</t>
  </si>
  <si>
    <t>Rockford Carneg Library</t>
  </si>
  <si>
    <t>Saint Paris Pub Library</t>
  </si>
  <si>
    <t>Selover Public Library</t>
  </si>
  <si>
    <t>Seneca East Public Library</t>
  </si>
  <si>
    <t>St Marys Community Public Library</t>
  </si>
  <si>
    <t>St.Clairsville Library</t>
  </si>
  <si>
    <t>Swanton Public Library</t>
  </si>
  <si>
    <t>Wilmington Public Library</t>
  </si>
  <si>
    <t>Wornstaff Memorial Library</t>
  </si>
  <si>
    <t>Governmental Activities</t>
  </si>
  <si>
    <t>All Libraries Reporting Using GASB 34 Format</t>
  </si>
  <si>
    <t>Operating</t>
  </si>
  <si>
    <t>Grants</t>
  </si>
  <si>
    <t>Cash</t>
  </si>
  <si>
    <t>Charges for</t>
  </si>
  <si>
    <t>Contributions</t>
  </si>
  <si>
    <t>and Interest</t>
  </si>
  <si>
    <t>Net</t>
  </si>
  <si>
    <t>Special and</t>
  </si>
  <si>
    <t>Changes</t>
  </si>
  <si>
    <t>Net Assets</t>
  </si>
  <si>
    <t>Other Local</t>
  </si>
  <si>
    <t>Unrestricted</t>
  </si>
  <si>
    <t>Investment</t>
  </si>
  <si>
    <t>Transfers and</t>
  </si>
  <si>
    <t>Extraordinary</t>
  </si>
  <si>
    <t>In Net</t>
  </si>
  <si>
    <t>Beginning</t>
  </si>
  <si>
    <t>(Disbursements)</t>
  </si>
  <si>
    <t>Taxes</t>
  </si>
  <si>
    <t>Earnings</t>
  </si>
  <si>
    <t>Items</t>
  </si>
  <si>
    <t>of Year</t>
  </si>
  <si>
    <t>End of Year</t>
  </si>
  <si>
    <t>Cleveland Heights University Public Library</t>
  </si>
  <si>
    <t>Cleveland Public Library</t>
  </si>
  <si>
    <t>Ella M. Everhard Public Library</t>
  </si>
  <si>
    <t xml:space="preserve">Martins Ferry Public Library </t>
  </si>
  <si>
    <t xml:space="preserve">Mount Vernon &amp; Knox Public Library </t>
  </si>
  <si>
    <t>Meigs</t>
  </si>
  <si>
    <t>Akron Summit County Public Library</t>
  </si>
  <si>
    <t>Allen County Law Library</t>
  </si>
  <si>
    <t>Columbus Law Library</t>
  </si>
  <si>
    <t>Fairfield County District Library</t>
  </si>
  <si>
    <t>Lakewood Public Library</t>
  </si>
  <si>
    <t>Martins Ferry Public Library</t>
  </si>
  <si>
    <t>McKinley Memorial Library</t>
  </si>
  <si>
    <t>NEO Regional Library</t>
  </si>
  <si>
    <t>Newark Public Library</t>
  </si>
  <si>
    <t>Northwest Regional Library</t>
  </si>
  <si>
    <t>Pickaway Public Library</t>
  </si>
  <si>
    <t>Porter Public Library</t>
  </si>
  <si>
    <t>Cincinnati</t>
  </si>
  <si>
    <t>Southeast Regional Library</t>
  </si>
  <si>
    <t>Tipp-City Public Library</t>
  </si>
  <si>
    <t>Troy-Miami Co. Public Library</t>
  </si>
  <si>
    <t>William Ammer Memorial Law Library</t>
  </si>
  <si>
    <t xml:space="preserve">Amherst Public Library </t>
  </si>
  <si>
    <t xml:space="preserve">Barberton Public Library </t>
  </si>
  <si>
    <t xml:space="preserve">Clyde Public Library </t>
  </si>
  <si>
    <t xml:space="preserve">Columbiana Library </t>
  </si>
  <si>
    <t xml:space="preserve">Community Library </t>
  </si>
  <si>
    <t xml:space="preserve">East Cleveland Public Library </t>
  </si>
  <si>
    <t xml:space="preserve">Gnadenhutten Public Library </t>
  </si>
  <si>
    <t xml:space="preserve">Herrick Memorial Library </t>
  </si>
  <si>
    <t xml:space="preserve">Hubbard Library </t>
  </si>
  <si>
    <t xml:space="preserve">Massillon Public Library </t>
  </si>
  <si>
    <t xml:space="preserve">Nelsonville Public Library </t>
  </si>
  <si>
    <t xml:space="preserve">New Carlisle Public Library </t>
  </si>
  <si>
    <t xml:space="preserve">New Straitsville Public Library </t>
  </si>
  <si>
    <t xml:space="preserve">Oberlin Public Library </t>
  </si>
  <si>
    <t xml:space="preserve">Patrick Henry School District Library </t>
  </si>
  <si>
    <t xml:space="preserve">Pemberville Public Library </t>
  </si>
  <si>
    <t xml:space="preserve">Ritter Public Library </t>
  </si>
  <si>
    <t xml:space="preserve">Wauseon Public Library </t>
  </si>
  <si>
    <t xml:space="preserve">Wickliffe Public Library </t>
  </si>
  <si>
    <t xml:space="preserve">Wright Memorial Public Library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</si>
  <si>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</si>
  <si>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</si>
  <si>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</si>
  <si>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</si>
  <si>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County Public Library </t>
  </si>
  <si>
    <t xml:space="preserve">Brown </t>
  </si>
  <si>
    <t xml:space="preserve">Carroll </t>
  </si>
  <si>
    <t xml:space="preserve">Champaign </t>
  </si>
  <si>
    <t xml:space="preserve">Clark </t>
  </si>
  <si>
    <t xml:space="preserve">Clinton </t>
  </si>
  <si>
    <t xml:space="preserve">Columbiana </t>
  </si>
  <si>
    <t xml:space="preserve">Crawford </t>
  </si>
  <si>
    <t xml:space="preserve">Cuyahoga </t>
  </si>
  <si>
    <t xml:space="preserve">Fairfield </t>
  </si>
  <si>
    <t xml:space="preserve">Harrison </t>
  </si>
  <si>
    <t xml:space="preserve">Jackson </t>
  </si>
  <si>
    <t xml:space="preserve">Lake </t>
  </si>
  <si>
    <t xml:space="preserve">Licking </t>
  </si>
  <si>
    <t xml:space="preserve">Madison </t>
  </si>
  <si>
    <t xml:space="preserve">Meigs County Public Library </t>
  </si>
  <si>
    <t xml:space="preserve">Meigs </t>
  </si>
  <si>
    <t xml:space="preserve">Coldwater Public Library </t>
  </si>
  <si>
    <t xml:space="preserve">Mercer </t>
  </si>
  <si>
    <t xml:space="preserve">Miami </t>
  </si>
  <si>
    <t xml:space="preserve">Monroe County Library </t>
  </si>
  <si>
    <t xml:space="preserve">Monroe </t>
  </si>
  <si>
    <t xml:space="preserve">Montgomery </t>
  </si>
  <si>
    <t xml:space="preserve">Perry </t>
  </si>
  <si>
    <t xml:space="preserve">Stark </t>
  </si>
  <si>
    <t xml:space="preserve">Bristol Public Library </t>
  </si>
  <si>
    <t xml:space="preserve">Tuscarawas </t>
  </si>
  <si>
    <t xml:space="preserve">Warren </t>
  </si>
  <si>
    <t xml:space="preserve">Wood </t>
  </si>
  <si>
    <t xml:space="preserve">Ross </t>
  </si>
  <si>
    <t/>
  </si>
  <si>
    <t>Transfers Out</t>
  </si>
  <si>
    <t xml:space="preserve">Advances Out </t>
  </si>
  <si>
    <t xml:space="preserve">Monroe County District Library </t>
  </si>
  <si>
    <t>Transfers In</t>
  </si>
  <si>
    <t xml:space="preserve">Advances In </t>
  </si>
  <si>
    <t xml:space="preserve">Alexandria Public Library </t>
  </si>
  <si>
    <t>Ashtabula Co District Library</t>
  </si>
  <si>
    <t>East Cleveland Public Library</t>
  </si>
  <si>
    <t>Findlay-Hancock Public Library</t>
  </si>
  <si>
    <t>Highland Co Library</t>
  </si>
  <si>
    <t>Leetonia Community Library</t>
  </si>
  <si>
    <t>Rockford Carnegie Library</t>
  </si>
  <si>
    <t>Monroe County District Library</t>
  </si>
  <si>
    <t>Perry Co District Library</t>
  </si>
  <si>
    <t>Louisville Public Library</t>
  </si>
  <si>
    <t>Saint Paris Public Library</t>
  </si>
  <si>
    <t>Receipts /</t>
  </si>
  <si>
    <t>General Fund Revenues</t>
  </si>
  <si>
    <t>General Fund Expenditures</t>
  </si>
  <si>
    <t>Governmental Fund Revenues</t>
  </si>
  <si>
    <t>Governmental Fund Expenditures</t>
  </si>
  <si>
    <t>Summary Information from the Statement of Activities</t>
  </si>
  <si>
    <t>Summary Data from the Statement of Net Assets - Governmental Activities</t>
  </si>
  <si>
    <t>All Schools Reporting Under GAAP</t>
  </si>
  <si>
    <t xml:space="preserve">                     Liabilities</t>
  </si>
  <si>
    <t>Statement</t>
  </si>
  <si>
    <t>Current</t>
  </si>
  <si>
    <t>Long-term Liabilities</t>
  </si>
  <si>
    <t>Invested in</t>
  </si>
  <si>
    <t>Balances if</t>
  </si>
  <si>
    <t>Liabilities</t>
  </si>
  <si>
    <t>Within 1 Year</t>
  </si>
  <si>
    <t>More Than 1 Yr</t>
  </si>
  <si>
    <t>Capital Assets</t>
  </si>
  <si>
    <t>Restricted</t>
  </si>
  <si>
    <t>Value is "0"</t>
  </si>
  <si>
    <t xml:space="preserve">             </t>
  </si>
  <si>
    <t>Cash Basis</t>
  </si>
  <si>
    <t>Is now Riverside LSD</t>
  </si>
  <si>
    <t xml:space="preserve">** Bowling Green CSD's Financial Statements are broad-based and are not broken out into specific accounts. </t>
  </si>
  <si>
    <t xml:space="preserve">     Therefore, the full amount has been placed into the first column of each group of accounts.</t>
  </si>
  <si>
    <t>Public Library of Cincinnati &amp; Hamilton Co.</t>
  </si>
  <si>
    <t>St. Marys Community Public Library</t>
  </si>
  <si>
    <t>Gifts and</t>
  </si>
  <si>
    <t>and</t>
  </si>
  <si>
    <t>Entitlements</t>
  </si>
  <si>
    <t>Operation and</t>
  </si>
  <si>
    <t>Maintenance</t>
  </si>
  <si>
    <t>Facilities</t>
  </si>
  <si>
    <t>Programs/</t>
  </si>
  <si>
    <t>Rentals</t>
  </si>
  <si>
    <t>Revenues</t>
  </si>
  <si>
    <t>Others</t>
  </si>
  <si>
    <t xml:space="preserve">Special </t>
  </si>
  <si>
    <t>Londonville Public Library</t>
  </si>
  <si>
    <t>Perry Co. District Library</t>
  </si>
  <si>
    <t>St. Clairsville Library</t>
  </si>
  <si>
    <t>East Liverpool Carnegie Public Library</t>
  </si>
  <si>
    <t xml:space="preserve">Rockford Carnege Library </t>
  </si>
  <si>
    <t>Kate Love Simpson Library</t>
  </si>
  <si>
    <t>Chillicothe &amp; Ross County Public Library</t>
  </si>
  <si>
    <t xml:space="preserve">Chillicothe &amp; Ross County Public Library </t>
  </si>
  <si>
    <t>Licking County Public Library</t>
  </si>
  <si>
    <t>Logan County District Library</t>
  </si>
  <si>
    <t>Logan Hocking County District</t>
  </si>
  <si>
    <t>Westerville Public Library</t>
  </si>
  <si>
    <t>The Wagnalls Memorial Library</t>
  </si>
  <si>
    <t xml:space="preserve">Hardin  </t>
  </si>
  <si>
    <t>Sorting Number</t>
  </si>
  <si>
    <t>The Public Library of Cincinnati and Hamilton County</t>
  </si>
  <si>
    <t>Hamilton</t>
  </si>
  <si>
    <t>Briggs Library</t>
  </si>
  <si>
    <t>Lawrence</t>
  </si>
  <si>
    <t>Putnam County Library</t>
  </si>
  <si>
    <t>Putnam</t>
  </si>
  <si>
    <t>Piqua Public Library</t>
  </si>
  <si>
    <t>Grand Valley Public Library</t>
  </si>
  <si>
    <t>Weston Public Library</t>
  </si>
  <si>
    <t>Advances</t>
  </si>
  <si>
    <t>In/(Out)</t>
  </si>
  <si>
    <t>Disbursements</t>
  </si>
  <si>
    <t>(continued)</t>
  </si>
  <si>
    <t>Stark County District Library</t>
  </si>
  <si>
    <t xml:space="preserve">Auglaize County District Library </t>
  </si>
  <si>
    <t xml:space="preserve">Carroll County District Library </t>
  </si>
  <si>
    <t>Champaign County Public Library</t>
  </si>
  <si>
    <t>Cuyahoga County Public Library</t>
  </si>
  <si>
    <t>Findlay-Hancock County Public Library</t>
  </si>
  <si>
    <t>Greene County Public Library</t>
  </si>
  <si>
    <t>Guernsey County Library</t>
  </si>
  <si>
    <t xml:space="preserve">Holmes County Public Library </t>
  </si>
  <si>
    <t>Mansfield - Richland County Public Library</t>
  </si>
  <si>
    <t>Medina County District Library</t>
  </si>
  <si>
    <t xml:space="preserve">Mercer County District Public Library </t>
  </si>
  <si>
    <t>Muskingum County Library</t>
  </si>
  <si>
    <t xml:space="preserve">Perry County District Library </t>
  </si>
  <si>
    <t>Portage County Library</t>
  </si>
  <si>
    <t>Preble County Library</t>
  </si>
  <si>
    <t>Toledo-Lucas County Public Library</t>
  </si>
  <si>
    <t>Troy-Miami County Public Library</t>
  </si>
  <si>
    <t>Tuscarawas County Public Library</t>
  </si>
  <si>
    <t>Warren Trumbull County Library</t>
  </si>
  <si>
    <t>Washington County Public Library</t>
  </si>
  <si>
    <t>Wayne County Public Library</t>
  </si>
  <si>
    <t>Williams County Public Library</t>
  </si>
  <si>
    <t>Wood County District Public Library</t>
  </si>
  <si>
    <t xml:space="preserve">Highland County Library </t>
  </si>
  <si>
    <t>Cuyahoga Falls Public Library</t>
  </si>
  <si>
    <t>Northeast Regional Library</t>
  </si>
  <si>
    <t>Port Clinton School District</t>
  </si>
  <si>
    <t xml:space="preserve">Public Library of Cincinnati &amp; Hamilton County </t>
  </si>
  <si>
    <t>Wagnalls Memorial Library</t>
  </si>
  <si>
    <t>Gnadenhuttem Public Library</t>
  </si>
  <si>
    <t>Cinncinnati and Hamilton County Public Library</t>
  </si>
  <si>
    <t>Cincinnati and Hamilton County Library</t>
  </si>
  <si>
    <t>Cincinnati and Hamilton County Public Library</t>
  </si>
  <si>
    <t>Cleveland Heights University Public Library*</t>
  </si>
  <si>
    <t>Cleveland Public Library*</t>
  </si>
  <si>
    <t>Columbus Metropolitan Public Library*</t>
  </si>
  <si>
    <t>Cincinnati and Hamilton Public Library*</t>
  </si>
  <si>
    <t>Toledo-Lucas Co. Public Library*</t>
  </si>
  <si>
    <t>Worthington Public Library*</t>
  </si>
  <si>
    <t>Cuyahoga Co. Public Library*</t>
  </si>
  <si>
    <t>* Reports in Accordance with Generally Accepted Accounting Principles</t>
  </si>
  <si>
    <t>Extension Library District</t>
  </si>
  <si>
    <t>Nelsonville Public Library</t>
  </si>
  <si>
    <t>Girard Public Library</t>
  </si>
  <si>
    <t>For the Year Ended December 31, 2011</t>
  </si>
  <si>
    <t>As of December 31, 2011</t>
  </si>
  <si>
    <t>Collection</t>
  </si>
  <si>
    <t>Development</t>
  </si>
  <si>
    <t>and processing</t>
  </si>
  <si>
    <t>Business</t>
  </si>
  <si>
    <t>Admin.</t>
  </si>
  <si>
    <t>Hudson Library</t>
  </si>
  <si>
    <t>Athens County Public Library</t>
  </si>
  <si>
    <t>Pickerington Public Library</t>
  </si>
  <si>
    <t>Special</t>
  </si>
  <si>
    <t xml:space="preserve">Allen County Law Library </t>
  </si>
  <si>
    <t>*Beginning in 2011, the cash disbursements were presented at program level.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</si>
</sst>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#,##0.0_);\(#,##0.0\)"/>
  </numFmts>
  <fonts count="8">
    <font>
      <sz val="10"/>
      <name val="Arial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7" fontId="2" fillId="0" borderId="0" applyFill="0" applyProtection="0">
      <alignment horizontal="right"/>
    </xf>
    <xf numFmtId="5" fontId="2" fillId="0" borderId="0"/>
    <xf numFmtId="0" fontId="7" fillId="0" borderId="0"/>
  </cellStyleXfs>
  <cellXfs count="85">
    <xf numFmtId="0" fontId="0" fillId="0" borderId="0" xfId="0"/>
    <xf numFmtId="37" fontId="2" fillId="0" borderId="0" xfId="0" applyNumberFormat="1" applyFont="1"/>
    <xf numFmtId="5" fontId="2" fillId="0" borderId="0" xfId="0" applyNumberFormat="1" applyFont="1"/>
    <xf numFmtId="0" fontId="2" fillId="0" borderId="0" xfId="0" applyFont="1" applyFill="1"/>
    <xf numFmtId="37" fontId="2" fillId="0" borderId="0" xfId="0" applyNumberFormat="1" applyFont="1" applyFill="1"/>
    <xf numFmtId="0" fontId="2" fillId="0" borderId="0" xfId="0" applyFont="1" applyBorder="1"/>
    <xf numFmtId="37" fontId="2" fillId="0" borderId="0" xfId="0" applyNumberFormat="1" applyFont="1" applyBorder="1"/>
    <xf numFmtId="5" fontId="2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/>
    <xf numFmtId="37" fontId="3" fillId="0" borderId="0" xfId="0" applyNumberFormat="1" applyFont="1" applyFill="1" applyBorder="1"/>
    <xf numFmtId="37" fontId="3" fillId="0" borderId="0" xfId="0" applyNumberFormat="1" applyFont="1" applyFill="1"/>
    <xf numFmtId="37" fontId="2" fillId="0" borderId="0" xfId="0" applyNumberFormat="1" applyFont="1" applyFill="1" applyBorder="1"/>
    <xf numFmtId="37" fontId="0" fillId="0" borderId="0" xfId="0" applyNumberFormat="1" applyBorder="1"/>
    <xf numFmtId="37" fontId="2" fillId="0" borderId="0" xfId="0" applyNumberFormat="1" applyFont="1" applyFill="1" applyAlignment="1"/>
    <xf numFmtId="37" fontId="5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37" fontId="6" fillId="0" borderId="0" xfId="0" applyNumberFormat="1" applyFont="1" applyFill="1" applyAlignment="1"/>
    <xf numFmtId="37" fontId="5" fillId="0" borderId="0" xfId="0" applyNumberFormat="1" applyFont="1" applyFill="1" applyAlignment="1">
      <alignment vertical="top"/>
    </xf>
    <xf numFmtId="37" fontId="2" fillId="0" borderId="0" xfId="0" applyNumberFormat="1" applyFont="1" applyFill="1" applyBorder="1" applyAlignment="1"/>
    <xf numFmtId="37" fontId="5" fillId="0" borderId="0" xfId="0" applyNumberFormat="1" applyFont="1" applyFill="1" applyAlignment="1">
      <alignment horizontal="left"/>
    </xf>
    <xf numFmtId="37" fontId="2" fillId="0" borderId="0" xfId="0" applyNumberFormat="1" applyFont="1" applyFill="1" applyBorder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Alignment="1">
      <alignment vertical="top"/>
    </xf>
    <xf numFmtId="5" fontId="2" fillId="0" borderId="0" xfId="0" applyNumberFormat="1" applyFont="1" applyFill="1" applyAlignment="1">
      <alignment vertical="top"/>
    </xf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 applyAlignment="1"/>
    <xf numFmtId="0" fontId="2" fillId="0" borderId="0" xfId="0" applyFont="1" applyFill="1" applyAlignment="1">
      <alignment vertical="top"/>
    </xf>
    <xf numFmtId="37" fontId="4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5" fontId="4" fillId="0" borderId="0" xfId="0" applyNumberFormat="1" applyFont="1" applyFill="1"/>
    <xf numFmtId="164" fontId="2" fillId="0" borderId="0" xfId="0" applyNumberFormat="1" applyFont="1" applyFill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left"/>
    </xf>
    <xf numFmtId="5" fontId="2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 wrapText="1"/>
    </xf>
    <xf numFmtId="37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/>
    <xf numFmtId="37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Border="1" applyAlignment="1">
      <alignment wrapText="1"/>
    </xf>
    <xf numFmtId="37" fontId="2" fillId="0" borderId="1" xfId="0" applyNumberFormat="1" applyFont="1" applyFill="1" applyBorder="1" applyAlignment="1">
      <alignment horizontal="center" wrapText="1"/>
    </xf>
    <xf numFmtId="37" fontId="0" fillId="0" borderId="0" xfId="0" applyNumberFormat="1" applyFill="1"/>
    <xf numFmtId="0" fontId="0" fillId="0" borderId="0" xfId="0" applyFill="1" applyBorder="1"/>
    <xf numFmtId="39" fontId="0" fillId="0" borderId="0" xfId="0" applyNumberFormat="1" applyFill="1" applyBorder="1" applyAlignment="1"/>
    <xf numFmtId="39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9" fontId="2" fillId="0" borderId="1" xfId="0" applyNumberFormat="1" applyFont="1" applyFill="1" applyBorder="1" applyAlignment="1">
      <alignment horizontal="center"/>
    </xf>
    <xf numFmtId="39" fontId="2" fillId="0" borderId="1" xfId="0" applyNumberFormat="1" applyFont="1" applyFill="1" applyBorder="1" applyAlignment="1">
      <alignment horizontal="center" wrapText="1"/>
    </xf>
    <xf numFmtId="5" fontId="0" fillId="0" borderId="0" xfId="0" applyNumberFormat="1" applyFill="1" applyBorder="1"/>
    <xf numFmtId="37" fontId="0" fillId="0" borderId="0" xfId="0" applyNumberFormat="1" applyFill="1" applyBorder="1"/>
    <xf numFmtId="37" fontId="0" fillId="0" borderId="0" xfId="0" applyNumberFormat="1" applyFill="1" applyBorder="1" applyAlignment="1"/>
    <xf numFmtId="0" fontId="0" fillId="0" borderId="0" xfId="0" applyFill="1" applyBorder="1" applyAlignment="1"/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/>
    <xf numFmtId="5" fontId="2" fillId="0" borderId="0" xfId="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center" wrapText="1"/>
    </xf>
    <xf numFmtId="5" fontId="2" fillId="0" borderId="2" xfId="0" applyNumberFormat="1" applyFont="1" applyFill="1" applyBorder="1"/>
    <xf numFmtId="5" fontId="2" fillId="0" borderId="2" xfId="0" applyNumberFormat="1" applyFont="1" applyBorder="1" applyAlignment="1">
      <alignment horizontal="right"/>
    </xf>
    <xf numFmtId="37" fontId="2" fillId="0" borderId="0" xfId="2" applyNumberFormat="1" applyFont="1" applyBorder="1" applyAlignment="1">
      <alignment horizontal="right"/>
    </xf>
    <xf numFmtId="37" fontId="2" fillId="0" borderId="0" xfId="1">
      <alignment horizontal="right"/>
    </xf>
    <xf numFmtId="37" fontId="2" fillId="0" borderId="0" xfId="2" applyNumberFormat="1" applyFont="1" applyBorder="1"/>
    <xf numFmtId="5" fontId="2" fillId="0" borderId="0" xfId="2"/>
    <xf numFmtId="37" fontId="2" fillId="0" borderId="0" xfId="3" applyNumberFormat="1" applyFont="1" applyBorder="1"/>
    <xf numFmtId="37" fontId="2" fillId="0" borderId="0" xfId="1" applyFill="1">
      <alignment horizontal="right"/>
    </xf>
    <xf numFmtId="3" fontId="2" fillId="0" borderId="0" xfId="3" applyNumberFormat="1" applyFont="1" applyBorder="1"/>
    <xf numFmtId="37" fontId="2" fillId="0" borderId="0" xfId="1" applyFill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39" fontId="2" fillId="0" borderId="1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left"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left"/>
    </xf>
  </cellXfs>
  <cellStyles count="4">
    <cellStyle name="Currency good" xfId="2"/>
    <cellStyle name="Normal" xfId="0" builtinId="0"/>
    <cellStyle name="Normal 2" xfId="3"/>
    <cellStyle name="THE format" xfId="1"/>
  </cellStyles>
  <dxfs count="0"/>
  <tableStyles count="0" defaultTableStyle="TableStyleMedium9" defaultPivotStyle="PivotStyleLight16"/>
  <colors>
    <mruColors>
      <color rgb="FFFF66CC"/>
      <color rgb="FFFF3399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35"/>
  <sheetViews>
    <sheetView tabSelected="1" view="pageBreakPreview" zoomScale="80" zoomScaleNormal="90" zoomScaleSheetLayoutView="80" workbookViewId="0">
      <pane xSplit="2" ySplit="13" topLeftCell="C34" activePane="bottomRight" state="frozen"/>
      <selection activeCell="H97" sqref="H97"/>
      <selection pane="topRight" activeCell="H97" sqref="H97"/>
      <selection pane="bottomLeft" activeCell="H97" sqref="H97"/>
      <selection pane="bottomRight" activeCell="H97" sqref="H97"/>
    </sheetView>
  </sheetViews>
  <sheetFormatPr defaultColWidth="9.140625" defaultRowHeight="12.75"/>
  <cols>
    <col min="1" max="1" width="35.5703125" style="54" customWidth="1"/>
    <col min="2" max="2" width="1.28515625" style="54" customWidth="1"/>
    <col min="3" max="3" width="10.7109375" style="54" customWidth="1"/>
    <col min="4" max="4" width="1.28515625" style="54" customWidth="1"/>
    <col min="5" max="5" width="11.28515625" style="55" customWidth="1"/>
    <col min="6" max="6" width="1.28515625" style="64" customWidth="1"/>
    <col min="7" max="7" width="10.85546875" style="55" customWidth="1"/>
    <col min="8" max="8" width="1.28515625" style="64" customWidth="1"/>
    <col min="9" max="9" width="10.85546875" style="55" customWidth="1"/>
    <col min="10" max="10" width="1.28515625" style="64" customWidth="1"/>
    <col min="11" max="11" width="10.28515625" style="55" customWidth="1"/>
    <col min="12" max="12" width="1.28515625" style="64" customWidth="1"/>
    <col min="13" max="13" width="13.28515625" style="55" customWidth="1"/>
    <col min="14" max="14" width="1.28515625" style="64" customWidth="1"/>
    <col min="15" max="15" width="10.7109375" style="55" customWidth="1"/>
    <col min="16" max="16" width="1.28515625" style="55" hidden="1" customWidth="1"/>
    <col min="17" max="17" width="10.7109375" style="64" customWidth="1"/>
    <col min="18" max="18" width="1.28515625" style="64" customWidth="1"/>
    <col min="19" max="19" width="10.85546875" style="55" customWidth="1"/>
    <col min="20" max="20" width="1.28515625" style="64" customWidth="1"/>
    <col min="21" max="21" width="10.85546875" style="55" customWidth="1"/>
    <col min="22" max="22" width="1.28515625" style="64" customWidth="1"/>
    <col min="23" max="23" width="10.7109375" style="55" customWidth="1"/>
    <col min="24" max="24" width="1.28515625" style="64" customWidth="1"/>
    <col min="25" max="25" width="10.85546875" style="55" customWidth="1"/>
    <col min="26" max="26" width="1.28515625" style="64" customWidth="1"/>
    <col min="27" max="27" width="10.42578125" style="55" customWidth="1"/>
    <col min="28" max="28" width="1.28515625" style="64" customWidth="1"/>
    <col min="29" max="29" width="10.7109375" style="55" customWidth="1"/>
    <col min="30" max="30" width="1.28515625" style="64" customWidth="1"/>
    <col min="31" max="31" width="10.7109375" style="55" customWidth="1"/>
    <col min="32" max="32" width="1.28515625" style="64" customWidth="1"/>
    <col min="33" max="33" width="11.28515625" style="55" customWidth="1"/>
    <col min="34" max="34" width="1.28515625" style="64" customWidth="1"/>
    <col min="35" max="35" width="11.140625" style="55" customWidth="1"/>
    <col min="36" max="16384" width="9.140625" style="54"/>
  </cols>
  <sheetData>
    <row r="1" spans="1:35" ht="12" customHeight="1">
      <c r="A1" s="80" t="s">
        <v>520</v>
      </c>
      <c r="B1" s="80"/>
      <c r="C1" s="80"/>
      <c r="D1" s="80"/>
      <c r="E1" s="8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2" customHeight="1">
      <c r="A2" s="15" t="s">
        <v>396</v>
      </c>
      <c r="B2" s="15"/>
      <c r="C2" s="15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2" customHeight="1">
      <c r="A3" s="15" t="s">
        <v>626</v>
      </c>
      <c r="B3" s="15"/>
      <c r="C3" s="15"/>
      <c r="D3" s="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2" customHeight="1">
      <c r="A4" s="15"/>
      <c r="B4" s="15"/>
      <c r="C4" s="15"/>
      <c r="D4" s="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12" customHeight="1">
      <c r="B5" s="15"/>
      <c r="C5" s="15"/>
      <c r="D5" s="1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" customHeight="1">
      <c r="A6" s="12" t="s">
        <v>397</v>
      </c>
      <c r="B6" s="15"/>
      <c r="C6" s="15"/>
      <c r="D6" s="1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" customHeight="1">
      <c r="A7" s="15"/>
      <c r="B7" s="15"/>
      <c r="C7" s="15"/>
      <c r="D7" s="15"/>
      <c r="E7" s="56"/>
      <c r="F7" s="56"/>
      <c r="G7" s="81" t="s">
        <v>346</v>
      </c>
      <c r="H7" s="81"/>
      <c r="I7" s="81"/>
      <c r="J7" s="81"/>
      <c r="K7" s="81"/>
      <c r="L7" s="23"/>
      <c r="M7" s="23"/>
      <c r="N7" s="23"/>
      <c r="O7" s="81" t="s">
        <v>347</v>
      </c>
      <c r="P7" s="81"/>
      <c r="Q7" s="81"/>
      <c r="R7" s="81"/>
      <c r="S7" s="81"/>
      <c r="T7" s="81"/>
      <c r="U7" s="81"/>
      <c r="V7" s="81"/>
      <c r="W7" s="81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12" customHeight="1">
      <c r="A8" s="15"/>
      <c r="B8" s="15"/>
      <c r="C8" s="15"/>
      <c r="D8" s="15"/>
      <c r="E8" s="56"/>
      <c r="F8" s="56"/>
      <c r="G8" s="56"/>
      <c r="H8" s="56"/>
      <c r="I8" s="57" t="s">
        <v>398</v>
      </c>
      <c r="J8" s="56"/>
      <c r="K8" s="56"/>
      <c r="L8" s="23"/>
      <c r="M8" s="23"/>
      <c r="N8" s="23"/>
      <c r="O8" s="23"/>
      <c r="P8" s="23"/>
      <c r="Q8" s="2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2" customHeight="1">
      <c r="D9" s="15"/>
      <c r="E9" s="56"/>
      <c r="F9" s="56"/>
      <c r="G9" s="56"/>
      <c r="H9" s="56"/>
      <c r="I9" s="57" t="s">
        <v>399</v>
      </c>
      <c r="J9" s="56"/>
      <c r="K9" s="56"/>
      <c r="L9" s="23"/>
      <c r="M9" s="57" t="s">
        <v>404</v>
      </c>
      <c r="N9" s="56"/>
      <c r="O9" s="57" t="s">
        <v>29</v>
      </c>
      <c r="P9" s="57"/>
      <c r="Q9" s="57" t="s">
        <v>399</v>
      </c>
      <c r="R9" s="56"/>
      <c r="S9" s="57" t="s">
        <v>409</v>
      </c>
      <c r="T9" s="56"/>
      <c r="U9" s="56"/>
      <c r="V9" s="56"/>
      <c r="W9" s="56"/>
      <c r="X9" s="56"/>
      <c r="Y9" s="57" t="s">
        <v>411</v>
      </c>
      <c r="Z9" s="23"/>
      <c r="AA9" s="57" t="s">
        <v>405</v>
      </c>
      <c r="AB9" s="23"/>
      <c r="AC9" s="57"/>
      <c r="AD9" s="56"/>
      <c r="AE9" s="57" t="s">
        <v>406</v>
      </c>
      <c r="AF9" s="56"/>
      <c r="AG9" s="57" t="s">
        <v>407</v>
      </c>
      <c r="AH9" s="56"/>
      <c r="AI9" s="57" t="s">
        <v>404</v>
      </c>
    </row>
    <row r="10" spans="1:35" ht="12" customHeight="1">
      <c r="A10" s="58"/>
      <c r="B10" s="58"/>
      <c r="C10" s="15"/>
      <c r="D10" s="15"/>
      <c r="E10" s="57" t="s">
        <v>400</v>
      </c>
      <c r="F10" s="56"/>
      <c r="G10" s="57" t="s">
        <v>401</v>
      </c>
      <c r="H10" s="56"/>
      <c r="I10" s="57" t="s">
        <v>402</v>
      </c>
      <c r="J10" s="56"/>
      <c r="K10" s="57" t="s">
        <v>28</v>
      </c>
      <c r="L10" s="23"/>
      <c r="M10" s="57" t="s">
        <v>515</v>
      </c>
      <c r="N10" s="56"/>
      <c r="O10" s="57" t="s">
        <v>408</v>
      </c>
      <c r="P10" s="57"/>
      <c r="Q10" s="57" t="s">
        <v>543</v>
      </c>
      <c r="R10" s="56"/>
      <c r="S10" s="57" t="s">
        <v>542</v>
      </c>
      <c r="T10" s="56"/>
      <c r="U10" s="57" t="s">
        <v>410</v>
      </c>
      <c r="V10" s="56"/>
      <c r="W10" s="56"/>
      <c r="X10" s="56"/>
      <c r="Y10" s="57" t="s">
        <v>577</v>
      </c>
      <c r="Z10" s="23"/>
      <c r="AA10" s="57" t="s">
        <v>412</v>
      </c>
      <c r="AB10" s="23"/>
      <c r="AC10" s="57" t="s">
        <v>26</v>
      </c>
      <c r="AD10" s="56"/>
      <c r="AE10" s="57" t="s">
        <v>413</v>
      </c>
      <c r="AF10" s="56"/>
      <c r="AG10" s="57" t="s">
        <v>414</v>
      </c>
      <c r="AH10" s="56"/>
      <c r="AI10" s="57" t="s">
        <v>30</v>
      </c>
    </row>
    <row r="11" spans="1:35" s="4" customFormat="1" ht="12">
      <c r="A11" s="45" t="s">
        <v>6</v>
      </c>
      <c r="B11" s="58"/>
      <c r="C11" s="40" t="s">
        <v>4</v>
      </c>
      <c r="D11" s="58"/>
      <c r="E11" s="59" t="s">
        <v>579</v>
      </c>
      <c r="F11" s="58"/>
      <c r="G11" s="60" t="s">
        <v>27</v>
      </c>
      <c r="H11" s="58"/>
      <c r="I11" s="60" t="s">
        <v>403</v>
      </c>
      <c r="J11" s="58"/>
      <c r="K11" s="60" t="s">
        <v>399</v>
      </c>
      <c r="L11" s="58"/>
      <c r="M11" s="60" t="s">
        <v>415</v>
      </c>
      <c r="N11" s="58"/>
      <c r="O11" s="60" t="s">
        <v>416</v>
      </c>
      <c r="P11" s="60"/>
      <c r="Q11" s="60" t="s">
        <v>544</v>
      </c>
      <c r="R11" s="58"/>
      <c r="S11" s="60" t="s">
        <v>402</v>
      </c>
      <c r="T11" s="58"/>
      <c r="U11" s="60" t="s">
        <v>417</v>
      </c>
      <c r="V11" s="58"/>
      <c r="W11" s="60" t="s">
        <v>0</v>
      </c>
      <c r="X11" s="58"/>
      <c r="Y11" s="60" t="s">
        <v>578</v>
      </c>
      <c r="Z11" s="58"/>
      <c r="AA11" s="60" t="s">
        <v>418</v>
      </c>
      <c r="AB11" s="58"/>
      <c r="AC11" s="60" t="s">
        <v>550</v>
      </c>
      <c r="AD11" s="58"/>
      <c r="AE11" s="60" t="s">
        <v>30</v>
      </c>
      <c r="AF11" s="58"/>
      <c r="AG11" s="60" t="s">
        <v>419</v>
      </c>
      <c r="AH11" s="58"/>
      <c r="AI11" s="60" t="s">
        <v>420</v>
      </c>
    </row>
    <row r="12" spans="1:35" ht="12" hidden="1" customHeight="1">
      <c r="A12" s="12" t="s">
        <v>428</v>
      </c>
      <c r="B12" s="12"/>
      <c r="C12" s="15" t="s">
        <v>95</v>
      </c>
      <c r="D12" s="12"/>
      <c r="E12" s="23"/>
      <c r="F12" s="12"/>
      <c r="G12" s="23"/>
      <c r="H12" s="12"/>
      <c r="I12" s="23"/>
      <c r="J12" s="12"/>
      <c r="K12" s="23"/>
      <c r="L12" s="12"/>
      <c r="M12" s="23"/>
      <c r="N12" s="12"/>
      <c r="O12" s="23"/>
      <c r="P12" s="23"/>
      <c r="Q12" s="23"/>
      <c r="R12" s="12"/>
      <c r="S12" s="23"/>
      <c r="T12" s="12"/>
      <c r="U12" s="23"/>
      <c r="V12" s="12"/>
      <c r="W12" s="23"/>
      <c r="X12" s="12"/>
      <c r="Y12" s="23"/>
      <c r="Z12" s="12"/>
      <c r="AA12" s="23"/>
      <c r="AB12" s="12"/>
      <c r="AC12" s="23">
        <f t="shared" ref="AC12:AC19" si="0">SUM(O12:AA12)</f>
        <v>0</v>
      </c>
      <c r="AD12" s="12"/>
      <c r="AE12" s="23">
        <f>+M12-AC12</f>
        <v>0</v>
      </c>
      <c r="AF12" s="12"/>
      <c r="AG12" s="23"/>
      <c r="AH12" s="12"/>
      <c r="AI12" s="23">
        <f t="shared" ref="AI12:AI13" si="1">+AG12-AE12</f>
        <v>0</v>
      </c>
    </row>
    <row r="13" spans="1:35" ht="12" hidden="1" customHeight="1">
      <c r="A13" s="12" t="s">
        <v>553</v>
      </c>
      <c r="B13" s="12"/>
      <c r="C13" s="12" t="s">
        <v>81</v>
      </c>
      <c r="D13" s="12"/>
      <c r="E13" s="23">
        <v>0</v>
      </c>
      <c r="F13" s="12"/>
      <c r="G13" s="23">
        <v>0</v>
      </c>
      <c r="H13" s="12"/>
      <c r="I13" s="23">
        <v>0</v>
      </c>
      <c r="J13" s="12"/>
      <c r="K13" s="23">
        <v>0</v>
      </c>
      <c r="L13" s="12"/>
      <c r="M13" s="23">
        <f t="shared" ref="M13" si="2">+E13-G13-I13-K13</f>
        <v>0</v>
      </c>
      <c r="N13" s="12"/>
      <c r="O13" s="23">
        <v>0</v>
      </c>
      <c r="P13" s="23"/>
      <c r="Q13" s="23">
        <v>0</v>
      </c>
      <c r="R13" s="12"/>
      <c r="S13" s="23">
        <v>0</v>
      </c>
      <c r="T13" s="12"/>
      <c r="U13" s="23">
        <v>0</v>
      </c>
      <c r="V13" s="12"/>
      <c r="W13" s="23">
        <v>0</v>
      </c>
      <c r="X13" s="12"/>
      <c r="Y13" s="23">
        <v>0</v>
      </c>
      <c r="Z13" s="12"/>
      <c r="AA13" s="23">
        <v>0</v>
      </c>
      <c r="AB13" s="12"/>
      <c r="AC13" s="23">
        <f t="shared" si="0"/>
        <v>0</v>
      </c>
      <c r="AD13" s="12"/>
      <c r="AE13" s="23">
        <f>+M13-AC13</f>
        <v>0</v>
      </c>
      <c r="AF13" s="12"/>
      <c r="AG13" s="23">
        <v>0</v>
      </c>
      <c r="AH13" s="12"/>
      <c r="AI13" s="23">
        <f t="shared" si="1"/>
        <v>0</v>
      </c>
    </row>
    <row r="14" spans="1:35" s="61" customFormat="1" ht="12" customHeight="1">
      <c r="A14" s="42" t="s">
        <v>349</v>
      </c>
      <c r="B14" s="42"/>
      <c r="C14" s="42" t="s">
        <v>38</v>
      </c>
      <c r="D14" s="42"/>
      <c r="E14" s="68">
        <v>766997.44</v>
      </c>
      <c r="F14" s="68"/>
      <c r="G14" s="68">
        <v>24598.97</v>
      </c>
      <c r="H14" s="68"/>
      <c r="I14" s="68">
        <v>0</v>
      </c>
      <c r="J14" s="68"/>
      <c r="K14" s="68">
        <v>0</v>
      </c>
      <c r="L14" s="68"/>
      <c r="M14" s="68">
        <v>-742398.47</v>
      </c>
      <c r="N14" s="68"/>
      <c r="O14" s="68">
        <v>0</v>
      </c>
      <c r="P14" s="68"/>
      <c r="Q14" s="68">
        <v>819254.14</v>
      </c>
      <c r="R14" s="68"/>
      <c r="S14" s="68">
        <v>0</v>
      </c>
      <c r="T14" s="68"/>
      <c r="U14" s="68">
        <v>28067.75</v>
      </c>
      <c r="V14" s="68"/>
      <c r="W14" s="68">
        <v>466.92</v>
      </c>
      <c r="X14" s="68"/>
      <c r="Y14" s="68">
        <v>0</v>
      </c>
      <c r="Z14" s="68"/>
      <c r="AA14" s="68">
        <v>0</v>
      </c>
      <c r="AB14" s="68"/>
      <c r="AC14" s="68">
        <f t="shared" si="0"/>
        <v>847788.81</v>
      </c>
      <c r="AD14" s="68"/>
      <c r="AE14" s="68">
        <v>105390.34</v>
      </c>
      <c r="AF14" s="68"/>
      <c r="AG14" s="68">
        <v>1488079.78</v>
      </c>
      <c r="AH14" s="68"/>
      <c r="AI14" s="68">
        <v>1593470.12</v>
      </c>
    </row>
    <row r="15" spans="1:35" ht="12" customHeight="1">
      <c r="A15" s="7" t="s">
        <v>427</v>
      </c>
      <c r="B15" s="42"/>
      <c r="C15" s="7" t="s">
        <v>20</v>
      </c>
      <c r="D15" s="42"/>
      <c r="E15" s="43">
        <v>59107906</v>
      </c>
      <c r="F15" s="43"/>
      <c r="G15" s="43">
        <v>592591</v>
      </c>
      <c r="H15" s="43"/>
      <c r="I15" s="43">
        <v>20407</v>
      </c>
      <c r="J15" s="43"/>
      <c r="K15" s="43">
        <v>0</v>
      </c>
      <c r="L15" s="43"/>
      <c r="M15" s="43">
        <f t="shared" ref="M15:M80" si="3">-E15+G15+I15+K15</f>
        <v>-58494908</v>
      </c>
      <c r="N15" s="43"/>
      <c r="O15" s="43">
        <f>10738861+5095674</f>
        <v>15834535</v>
      </c>
      <c r="P15" s="43"/>
      <c r="Q15" s="43">
        <v>2288537</v>
      </c>
      <c r="R15" s="43"/>
      <c r="S15" s="43">
        <v>1846</v>
      </c>
      <c r="T15" s="43"/>
      <c r="U15" s="43">
        <v>21345</v>
      </c>
      <c r="V15" s="43"/>
      <c r="W15" s="43">
        <f>11569604+26225000+3064015+233534</f>
        <v>41092153</v>
      </c>
      <c r="X15" s="43"/>
      <c r="Y15" s="43">
        <v>0</v>
      </c>
      <c r="Z15" s="43"/>
      <c r="AA15" s="43">
        <v>0</v>
      </c>
      <c r="AB15" s="43"/>
      <c r="AC15" s="43">
        <f t="shared" si="0"/>
        <v>59238416</v>
      </c>
      <c r="AD15" s="43"/>
      <c r="AE15" s="43">
        <f>AC15+M15</f>
        <v>743508</v>
      </c>
      <c r="AF15" s="43"/>
      <c r="AG15" s="43">
        <v>4923199</v>
      </c>
      <c r="AH15" s="43"/>
      <c r="AI15" s="43">
        <f t="shared" ref="AI15:AI80" si="4">AE15+AG15</f>
        <v>5666707</v>
      </c>
    </row>
    <row r="16" spans="1:35" ht="12" customHeight="1">
      <c r="A16" s="15" t="s">
        <v>69</v>
      </c>
      <c r="B16" s="4"/>
      <c r="C16" s="15" t="s">
        <v>39</v>
      </c>
      <c r="D16" s="4"/>
      <c r="E16" s="65">
        <v>305257.02</v>
      </c>
      <c r="F16" s="65"/>
      <c r="G16" s="65">
        <v>0</v>
      </c>
      <c r="H16" s="65"/>
      <c r="I16" s="65">
        <v>0</v>
      </c>
      <c r="J16" s="65"/>
      <c r="K16" s="65">
        <v>0</v>
      </c>
      <c r="L16" s="65"/>
      <c r="M16" s="65">
        <v>-305257.02</v>
      </c>
      <c r="N16" s="65"/>
      <c r="O16" s="65">
        <v>0</v>
      </c>
      <c r="P16" s="65"/>
      <c r="Q16" s="65">
        <v>259006.27</v>
      </c>
      <c r="R16" s="65"/>
      <c r="S16" s="65">
        <v>0</v>
      </c>
      <c r="T16" s="65"/>
      <c r="U16" s="65">
        <v>335.89</v>
      </c>
      <c r="V16" s="65"/>
      <c r="W16" s="65">
        <v>7448.94</v>
      </c>
      <c r="X16" s="65"/>
      <c r="Y16" s="65">
        <v>0</v>
      </c>
      <c r="Z16" s="65"/>
      <c r="AA16" s="65">
        <v>0</v>
      </c>
      <c r="AB16" s="65"/>
      <c r="AC16" s="65">
        <f t="shared" si="0"/>
        <v>266791.09999999998</v>
      </c>
      <c r="AD16" s="65"/>
      <c r="AE16" s="65">
        <v>-38465.919999999998</v>
      </c>
      <c r="AF16" s="65"/>
      <c r="AG16" s="65">
        <v>669302.5</v>
      </c>
      <c r="AH16" s="65"/>
      <c r="AI16" s="65">
        <v>630836.57999999996</v>
      </c>
    </row>
    <row r="17" spans="1:35" ht="12" hidden="1" customHeight="1">
      <c r="A17" s="15" t="s">
        <v>74</v>
      </c>
      <c r="B17" s="15"/>
      <c r="C17" s="15" t="s">
        <v>55</v>
      </c>
      <c r="D17" s="15"/>
      <c r="E17" s="43"/>
      <c r="F17" s="43"/>
      <c r="G17" s="43"/>
      <c r="H17" s="43"/>
      <c r="I17" s="43"/>
      <c r="J17" s="43"/>
      <c r="K17" s="43"/>
      <c r="L17" s="43"/>
      <c r="M17" s="43">
        <f t="shared" si="3"/>
        <v>0</v>
      </c>
      <c r="N17" s="43"/>
      <c r="O17" s="43"/>
      <c r="P17" s="43"/>
      <c r="Q17" s="43"/>
      <c r="R17" s="43"/>
      <c r="S17" s="65">
        <v>0</v>
      </c>
      <c r="T17" s="43"/>
      <c r="U17" s="43"/>
      <c r="V17" s="43"/>
      <c r="W17" s="43"/>
      <c r="X17" s="43"/>
      <c r="Y17" s="43"/>
      <c r="Z17" s="43"/>
      <c r="AA17" s="43"/>
      <c r="AB17" s="43"/>
      <c r="AC17" s="43">
        <f t="shared" si="0"/>
        <v>0</v>
      </c>
      <c r="AD17" s="43"/>
      <c r="AE17" s="43">
        <f>AC17+M17</f>
        <v>0</v>
      </c>
      <c r="AF17" s="43"/>
      <c r="AG17" s="43"/>
      <c r="AH17" s="43"/>
      <c r="AI17" s="43">
        <f t="shared" si="4"/>
        <v>0</v>
      </c>
    </row>
    <row r="18" spans="1:35" ht="12" customHeight="1">
      <c r="A18" s="3" t="s">
        <v>80</v>
      </c>
      <c r="B18" s="12"/>
      <c r="C18" s="3" t="s">
        <v>81</v>
      </c>
      <c r="D18" s="15"/>
      <c r="E18" s="43">
        <v>1479909</v>
      </c>
      <c r="F18" s="43"/>
      <c r="G18" s="43">
        <v>65144</v>
      </c>
      <c r="H18" s="43"/>
      <c r="I18" s="43">
        <v>32592</v>
      </c>
      <c r="J18" s="43"/>
      <c r="K18" s="43">
        <v>0</v>
      </c>
      <c r="L18" s="43"/>
      <c r="M18" s="43">
        <f t="shared" si="3"/>
        <v>-1382173</v>
      </c>
      <c r="N18" s="43"/>
      <c r="O18" s="43">
        <f>1010284+454743</f>
        <v>1465027</v>
      </c>
      <c r="P18" s="43"/>
      <c r="Q18" s="43">
        <v>0</v>
      </c>
      <c r="R18" s="43"/>
      <c r="S18" s="65">
        <v>0</v>
      </c>
      <c r="T18" s="43"/>
      <c r="U18" s="43">
        <v>35056</v>
      </c>
      <c r="V18" s="43"/>
      <c r="W18" s="43">
        <v>0</v>
      </c>
      <c r="X18" s="43"/>
      <c r="Y18" s="43">
        <v>50600</v>
      </c>
      <c r="Z18" s="43"/>
      <c r="AA18" s="43">
        <v>0</v>
      </c>
      <c r="AB18" s="43"/>
      <c r="AC18" s="43">
        <f t="shared" si="0"/>
        <v>1550683</v>
      </c>
      <c r="AD18" s="43"/>
      <c r="AE18" s="43">
        <f>AC18+M18</f>
        <v>168510</v>
      </c>
      <c r="AF18" s="43"/>
      <c r="AG18" s="43">
        <v>2087964</v>
      </c>
      <c r="AH18" s="43"/>
      <c r="AI18" s="43">
        <f t="shared" si="4"/>
        <v>2256474</v>
      </c>
    </row>
    <row r="19" spans="1:35" s="62" customFormat="1" ht="12" customHeight="1">
      <c r="A19" s="15" t="s">
        <v>505</v>
      </c>
      <c r="B19" s="4"/>
      <c r="C19" s="15" t="s">
        <v>41</v>
      </c>
      <c r="D19" s="4"/>
      <c r="E19" s="65">
        <v>1316441.03</v>
      </c>
      <c r="F19" s="65"/>
      <c r="G19" s="65">
        <v>52955.040000000001</v>
      </c>
      <c r="H19" s="65"/>
      <c r="I19" s="65">
        <v>49417.09</v>
      </c>
      <c r="J19" s="65"/>
      <c r="K19" s="65">
        <v>0</v>
      </c>
      <c r="L19" s="65"/>
      <c r="M19" s="65">
        <v>-1214068.8999999999</v>
      </c>
      <c r="N19" s="65"/>
      <c r="O19" s="65">
        <v>1250693.21</v>
      </c>
      <c r="P19" s="65"/>
      <c r="Q19" s="65">
        <v>1064.8699999999999</v>
      </c>
      <c r="R19" s="65"/>
      <c r="S19" s="65">
        <v>0</v>
      </c>
      <c r="T19" s="65"/>
      <c r="U19" s="65">
        <v>0</v>
      </c>
      <c r="V19" s="65"/>
      <c r="W19" s="65">
        <v>4583.58</v>
      </c>
      <c r="X19" s="65"/>
      <c r="Y19" s="65">
        <v>0</v>
      </c>
      <c r="Z19" s="65"/>
      <c r="AA19" s="65">
        <v>0</v>
      </c>
      <c r="AB19" s="65"/>
      <c r="AC19" s="65">
        <f t="shared" si="0"/>
        <v>1256341.6600000001</v>
      </c>
      <c r="AD19" s="65"/>
      <c r="AE19" s="65">
        <v>42272.76</v>
      </c>
      <c r="AF19" s="65"/>
      <c r="AG19" s="65">
        <v>2709561.41</v>
      </c>
      <c r="AH19" s="65"/>
      <c r="AI19" s="65">
        <v>2751834.17</v>
      </c>
    </row>
    <row r="20" spans="1:35" s="62" customFormat="1" ht="12" customHeight="1">
      <c r="A20" s="15" t="s">
        <v>634</v>
      </c>
      <c r="B20" s="4"/>
      <c r="C20" s="15" t="s">
        <v>208</v>
      </c>
      <c r="D20" s="4"/>
      <c r="E20" s="65">
        <v>1746373.3</v>
      </c>
      <c r="F20" s="65"/>
      <c r="G20" s="65">
        <v>30133.62</v>
      </c>
      <c r="H20" s="65"/>
      <c r="I20" s="65">
        <v>0</v>
      </c>
      <c r="J20" s="65"/>
      <c r="K20" s="65">
        <v>0</v>
      </c>
      <c r="L20" s="65"/>
      <c r="M20" s="65">
        <v>-1716239.68</v>
      </c>
      <c r="N20" s="65"/>
      <c r="O20" s="65">
        <v>0</v>
      </c>
      <c r="P20" s="65"/>
      <c r="Q20" s="65">
        <v>1837693.54</v>
      </c>
      <c r="R20" s="65"/>
      <c r="S20" s="65">
        <v>0</v>
      </c>
      <c r="T20" s="65"/>
      <c r="U20" s="65">
        <v>1538.54</v>
      </c>
      <c r="V20" s="65"/>
      <c r="W20" s="65">
        <v>10392.049999999999</v>
      </c>
      <c r="X20" s="65"/>
      <c r="Y20" s="65">
        <v>0</v>
      </c>
      <c r="Z20" s="65"/>
      <c r="AA20" s="65">
        <v>0</v>
      </c>
      <c r="AB20" s="65"/>
      <c r="AC20" s="65">
        <f t="shared" ref="AC20:AC21" si="5">SUM(O20:AA20)</f>
        <v>1849624.1300000001</v>
      </c>
      <c r="AD20" s="65"/>
      <c r="AE20" s="65">
        <v>133384.45000000001</v>
      </c>
      <c r="AF20" s="65"/>
      <c r="AG20" s="65">
        <v>702602.09</v>
      </c>
      <c r="AH20" s="65"/>
      <c r="AI20" s="65">
        <v>835986.54</v>
      </c>
    </row>
    <row r="21" spans="1:35" ht="12" customHeight="1">
      <c r="A21" s="4" t="s">
        <v>352</v>
      </c>
      <c r="B21" s="4"/>
      <c r="C21" s="4" t="s">
        <v>42</v>
      </c>
      <c r="D21" s="4"/>
      <c r="E21" s="65">
        <v>939153.39</v>
      </c>
      <c r="F21" s="65"/>
      <c r="G21" s="65">
        <v>15440.91</v>
      </c>
      <c r="H21" s="65"/>
      <c r="I21" s="65">
        <v>25978.91</v>
      </c>
      <c r="J21" s="65"/>
      <c r="K21" s="65">
        <v>0</v>
      </c>
      <c r="L21" s="65"/>
      <c r="M21" s="65">
        <v>-897733.57</v>
      </c>
      <c r="N21" s="65"/>
      <c r="O21" s="65">
        <v>0</v>
      </c>
      <c r="P21" s="65"/>
      <c r="Q21" s="65">
        <v>990737.75</v>
      </c>
      <c r="R21" s="65"/>
      <c r="S21" s="65">
        <v>0</v>
      </c>
      <c r="T21" s="65"/>
      <c r="U21" s="65">
        <v>14308.38</v>
      </c>
      <c r="V21" s="65"/>
      <c r="W21" s="65">
        <v>3624.87</v>
      </c>
      <c r="X21" s="65"/>
      <c r="Y21" s="65">
        <v>0</v>
      </c>
      <c r="Z21" s="65"/>
      <c r="AA21" s="65">
        <v>0</v>
      </c>
      <c r="AB21" s="65"/>
      <c r="AC21" s="65">
        <f t="shared" si="5"/>
        <v>1008671</v>
      </c>
      <c r="AD21" s="65"/>
      <c r="AE21" s="65">
        <v>110937.43</v>
      </c>
      <c r="AF21" s="65"/>
      <c r="AG21" s="65">
        <v>3403650.24</v>
      </c>
      <c r="AH21" s="65"/>
      <c r="AI21" s="65">
        <v>3514587.67</v>
      </c>
    </row>
    <row r="22" spans="1:35" ht="12" customHeight="1">
      <c r="A22" s="3" t="s">
        <v>82</v>
      </c>
      <c r="B22" s="12"/>
      <c r="C22" s="4" t="s">
        <v>55</v>
      </c>
      <c r="D22" s="15"/>
      <c r="E22" s="43">
        <v>2179034</v>
      </c>
      <c r="F22" s="43"/>
      <c r="G22" s="43">
        <v>48374</v>
      </c>
      <c r="H22" s="43"/>
      <c r="I22" s="43">
        <v>0</v>
      </c>
      <c r="J22" s="43"/>
      <c r="K22" s="43">
        <v>0</v>
      </c>
      <c r="L22" s="43"/>
      <c r="M22" s="43">
        <f t="shared" si="3"/>
        <v>-2130660</v>
      </c>
      <c r="N22" s="43"/>
      <c r="O22" s="43">
        <f>1190312+819794</f>
        <v>2010106</v>
      </c>
      <c r="P22" s="43"/>
      <c r="Q22" s="43">
        <v>0</v>
      </c>
      <c r="R22" s="43"/>
      <c r="S22" s="43">
        <v>7202</v>
      </c>
      <c r="T22" s="43"/>
      <c r="U22" s="43">
        <v>213</v>
      </c>
      <c r="V22" s="43"/>
      <c r="W22" s="43">
        <v>21549</v>
      </c>
      <c r="X22" s="43"/>
      <c r="Y22" s="43">
        <v>0</v>
      </c>
      <c r="Z22" s="43"/>
      <c r="AA22" s="43">
        <v>0</v>
      </c>
      <c r="AB22" s="43"/>
      <c r="AC22" s="43">
        <f>SUM(O22:AA22)</f>
        <v>2039070</v>
      </c>
      <c r="AD22" s="43"/>
      <c r="AE22" s="43">
        <f>AC22+M22</f>
        <v>-91590</v>
      </c>
      <c r="AF22" s="43"/>
      <c r="AG22" s="43">
        <v>641612</v>
      </c>
      <c r="AH22" s="43"/>
      <c r="AI22" s="43">
        <f t="shared" si="4"/>
        <v>550022</v>
      </c>
    </row>
    <row r="23" spans="1:35" ht="12" customHeight="1">
      <c r="A23" s="15" t="s">
        <v>353</v>
      </c>
      <c r="B23" s="4"/>
      <c r="C23" s="15" t="s">
        <v>20</v>
      </c>
      <c r="D23" s="4"/>
      <c r="E23" s="65">
        <v>1250673.69</v>
      </c>
      <c r="F23" s="65"/>
      <c r="G23" s="65">
        <v>31765.79</v>
      </c>
      <c r="H23" s="65"/>
      <c r="I23" s="65">
        <v>21450.21</v>
      </c>
      <c r="J23" s="65"/>
      <c r="K23" s="65">
        <v>4646.8900000000003</v>
      </c>
      <c r="L23" s="65"/>
      <c r="M23" s="65">
        <v>-1192810.8</v>
      </c>
      <c r="N23" s="65"/>
      <c r="O23" s="65">
        <v>498838.29</v>
      </c>
      <c r="P23" s="65"/>
      <c r="Q23" s="65">
        <v>822457.87</v>
      </c>
      <c r="R23" s="65"/>
      <c r="S23" s="65">
        <v>0</v>
      </c>
      <c r="T23" s="65"/>
      <c r="U23" s="65">
        <v>11076.21</v>
      </c>
      <c r="V23" s="65"/>
      <c r="W23" s="65">
        <v>9960.16</v>
      </c>
      <c r="X23" s="65"/>
      <c r="Y23" s="65">
        <v>0</v>
      </c>
      <c r="Z23" s="65"/>
      <c r="AA23" s="65">
        <v>0</v>
      </c>
      <c r="AB23" s="65"/>
      <c r="AC23" s="65">
        <f t="shared" ref="AC23" si="6">SUM(O23:AA23)</f>
        <v>1342332.5299999998</v>
      </c>
      <c r="AD23" s="65"/>
      <c r="AE23" s="65">
        <v>149521.73000000001</v>
      </c>
      <c r="AF23" s="65"/>
      <c r="AG23" s="65">
        <v>1323774.49</v>
      </c>
      <c r="AH23" s="65"/>
      <c r="AI23" s="65">
        <v>1473296.22</v>
      </c>
    </row>
    <row r="24" spans="1:35" ht="12" hidden="1" customHeight="1">
      <c r="A24" s="3" t="s">
        <v>19</v>
      </c>
      <c r="B24" s="12"/>
      <c r="C24" s="3" t="s">
        <v>11</v>
      </c>
      <c r="D24" s="15"/>
      <c r="E24" s="43"/>
      <c r="F24" s="43"/>
      <c r="G24" s="43"/>
      <c r="H24" s="43"/>
      <c r="I24" s="43"/>
      <c r="J24" s="43"/>
      <c r="K24" s="43"/>
      <c r="L24" s="43"/>
      <c r="M24" s="43">
        <f t="shared" si="3"/>
        <v>0</v>
      </c>
      <c r="N24" s="43"/>
      <c r="O24" s="43"/>
      <c r="P24" s="43"/>
      <c r="Q24" s="43"/>
      <c r="R24" s="43"/>
      <c r="S24" s="65">
        <v>0</v>
      </c>
      <c r="T24" s="43"/>
      <c r="U24" s="43"/>
      <c r="V24" s="43"/>
      <c r="W24" s="43"/>
      <c r="X24" s="43"/>
      <c r="Y24" s="43"/>
      <c r="Z24" s="43"/>
      <c r="AA24" s="43"/>
      <c r="AB24" s="43"/>
      <c r="AC24" s="43">
        <f>SUM(O24:AA24)</f>
        <v>0</v>
      </c>
      <c r="AD24" s="43"/>
      <c r="AE24" s="43">
        <f>AC24+M24</f>
        <v>0</v>
      </c>
      <c r="AF24" s="43"/>
      <c r="AG24" s="43"/>
      <c r="AH24" s="43"/>
      <c r="AI24" s="43">
        <f t="shared" si="4"/>
        <v>0</v>
      </c>
    </row>
    <row r="25" spans="1:35" ht="12" customHeight="1">
      <c r="A25" s="15" t="s">
        <v>354</v>
      </c>
      <c r="B25" s="4"/>
      <c r="C25" s="15" t="s">
        <v>11</v>
      </c>
      <c r="D25" s="4"/>
      <c r="E25" s="65">
        <v>486516.37</v>
      </c>
      <c r="F25" s="65"/>
      <c r="G25" s="65">
        <v>9135.2199999999993</v>
      </c>
      <c r="H25" s="65"/>
      <c r="I25" s="65">
        <v>0</v>
      </c>
      <c r="J25" s="65"/>
      <c r="K25" s="65">
        <v>0</v>
      </c>
      <c r="L25" s="65"/>
      <c r="M25" s="65">
        <v>-477381.15</v>
      </c>
      <c r="N25" s="65"/>
      <c r="O25" s="65">
        <v>0</v>
      </c>
      <c r="P25" s="65"/>
      <c r="Q25" s="65">
        <v>411699.4</v>
      </c>
      <c r="R25" s="65"/>
      <c r="S25" s="65">
        <v>0</v>
      </c>
      <c r="T25" s="65"/>
      <c r="U25" s="65">
        <v>3755.74</v>
      </c>
      <c r="V25" s="65"/>
      <c r="W25" s="65">
        <v>120.47</v>
      </c>
      <c r="X25" s="65"/>
      <c r="Y25" s="65">
        <v>0</v>
      </c>
      <c r="Z25" s="65"/>
      <c r="AA25" s="65">
        <v>0</v>
      </c>
      <c r="AB25" s="65"/>
      <c r="AC25" s="65">
        <f t="shared" ref="AC25" si="7">SUM(O25:AA25)</f>
        <v>415575.61</v>
      </c>
      <c r="AD25" s="65"/>
      <c r="AE25" s="65">
        <v>-61805.54</v>
      </c>
      <c r="AF25" s="65"/>
      <c r="AG25" s="65">
        <v>933253.23</v>
      </c>
      <c r="AH25" s="65"/>
      <c r="AI25" s="65">
        <v>871447.69</v>
      </c>
    </row>
    <row r="26" spans="1:35" ht="12" customHeight="1">
      <c r="A26" s="3" t="s">
        <v>86</v>
      </c>
      <c r="B26" s="15"/>
      <c r="C26" s="4" t="s">
        <v>87</v>
      </c>
      <c r="D26" s="15"/>
      <c r="E26" s="43">
        <v>831908</v>
      </c>
      <c r="F26" s="43"/>
      <c r="G26" s="43">
        <v>23534</v>
      </c>
      <c r="H26" s="43"/>
      <c r="I26" s="43">
        <v>13463</v>
      </c>
      <c r="J26" s="43"/>
      <c r="K26" s="43">
        <v>3793</v>
      </c>
      <c r="L26" s="43"/>
      <c r="M26" s="43">
        <f t="shared" si="3"/>
        <v>-791118</v>
      </c>
      <c r="N26" s="43"/>
      <c r="O26" s="43">
        <v>277224</v>
      </c>
      <c r="P26" s="43"/>
      <c r="Q26" s="43">
        <v>554811</v>
      </c>
      <c r="R26" s="43"/>
      <c r="S26" s="65">
        <v>0</v>
      </c>
      <c r="T26" s="43"/>
      <c r="U26" s="43">
        <v>2379</v>
      </c>
      <c r="V26" s="43"/>
      <c r="W26" s="43">
        <v>230</v>
      </c>
      <c r="X26" s="43"/>
      <c r="Y26" s="43">
        <v>0</v>
      </c>
      <c r="Z26" s="43"/>
      <c r="AA26" s="43">
        <v>0</v>
      </c>
      <c r="AB26" s="43"/>
      <c r="AC26" s="43">
        <f>SUM(O26:AA26)</f>
        <v>834644</v>
      </c>
      <c r="AD26" s="43"/>
      <c r="AE26" s="43">
        <f>AC26+M26</f>
        <v>43526</v>
      </c>
      <c r="AF26" s="43"/>
      <c r="AG26" s="43">
        <v>852231</v>
      </c>
      <c r="AH26" s="43"/>
      <c r="AI26" s="43">
        <f t="shared" si="4"/>
        <v>895757</v>
      </c>
    </row>
    <row r="27" spans="1:35" ht="12" hidden="1" customHeight="1">
      <c r="A27" s="4" t="s">
        <v>93</v>
      </c>
      <c r="B27" s="4"/>
      <c r="C27" s="4" t="s">
        <v>67</v>
      </c>
      <c r="D27" s="4"/>
      <c r="E27" s="43"/>
      <c r="F27" s="43"/>
      <c r="G27" s="43"/>
      <c r="H27" s="43"/>
      <c r="I27" s="43"/>
      <c r="J27" s="43"/>
      <c r="K27" s="43"/>
      <c r="L27" s="43"/>
      <c r="M27" s="43">
        <f t="shared" si="3"/>
        <v>0</v>
      </c>
      <c r="N27" s="43"/>
      <c r="O27" s="43"/>
      <c r="P27" s="43"/>
      <c r="Q27" s="43"/>
      <c r="R27" s="43"/>
      <c r="S27" s="65">
        <v>0</v>
      </c>
      <c r="T27" s="43"/>
      <c r="U27" s="43"/>
      <c r="V27" s="43"/>
      <c r="W27" s="43"/>
      <c r="X27" s="43"/>
      <c r="Y27" s="43"/>
      <c r="Z27" s="43"/>
      <c r="AA27" s="43"/>
      <c r="AB27" s="43"/>
      <c r="AC27" s="43">
        <f>SUM(O27:AA27)</f>
        <v>0</v>
      </c>
      <c r="AD27" s="43"/>
      <c r="AE27" s="43">
        <f>AC27+M27</f>
        <v>0</v>
      </c>
      <c r="AF27" s="43"/>
      <c r="AG27" s="43"/>
      <c r="AH27" s="43"/>
      <c r="AI27" s="43">
        <f t="shared" si="4"/>
        <v>0</v>
      </c>
    </row>
    <row r="28" spans="1:35" ht="12" customHeight="1">
      <c r="A28" s="12" t="s">
        <v>98</v>
      </c>
      <c r="B28" s="15"/>
      <c r="C28" s="15" t="s">
        <v>54</v>
      </c>
      <c r="D28" s="15"/>
      <c r="E28" s="43">
        <v>332736</v>
      </c>
      <c r="F28" s="43"/>
      <c r="G28" s="43">
        <v>7191</v>
      </c>
      <c r="H28" s="43"/>
      <c r="I28" s="43">
        <v>0</v>
      </c>
      <c r="J28" s="43"/>
      <c r="K28" s="43">
        <v>0</v>
      </c>
      <c r="L28" s="43"/>
      <c r="M28" s="43">
        <f t="shared" si="3"/>
        <v>-325545</v>
      </c>
      <c r="N28" s="43"/>
      <c r="O28" s="43">
        <v>0</v>
      </c>
      <c r="P28" s="43"/>
      <c r="Q28" s="43">
        <v>323131</v>
      </c>
      <c r="R28" s="43"/>
      <c r="S28" s="65">
        <v>0</v>
      </c>
      <c r="T28" s="43"/>
      <c r="U28" s="43">
        <v>7333</v>
      </c>
      <c r="V28" s="43"/>
      <c r="W28" s="43">
        <v>79</v>
      </c>
      <c r="X28" s="43"/>
      <c r="Y28" s="43">
        <v>0</v>
      </c>
      <c r="Z28" s="43"/>
      <c r="AA28" s="43">
        <v>0</v>
      </c>
      <c r="AB28" s="43"/>
      <c r="AC28" s="43">
        <f>SUM(O28:AA28)</f>
        <v>330543</v>
      </c>
      <c r="AD28" s="43"/>
      <c r="AE28" s="43">
        <f>AC28+M28</f>
        <v>4998</v>
      </c>
      <c r="AF28" s="43"/>
      <c r="AG28" s="43">
        <v>916721</v>
      </c>
      <c r="AH28" s="43"/>
      <c r="AI28" s="43">
        <f t="shared" si="4"/>
        <v>921719</v>
      </c>
    </row>
    <row r="29" spans="1:35" ht="12" customHeight="1">
      <c r="A29" s="12" t="s">
        <v>107</v>
      </c>
      <c r="B29" s="12"/>
      <c r="C29" s="12" t="s">
        <v>108</v>
      </c>
      <c r="D29" s="15"/>
      <c r="E29" s="43">
        <v>829115</v>
      </c>
      <c r="F29" s="43"/>
      <c r="G29" s="43">
        <v>20301</v>
      </c>
      <c r="H29" s="43"/>
      <c r="I29" s="43">
        <v>2493</v>
      </c>
      <c r="J29" s="43"/>
      <c r="K29" s="43">
        <v>0</v>
      </c>
      <c r="L29" s="43"/>
      <c r="M29" s="43">
        <f t="shared" si="3"/>
        <v>-806321</v>
      </c>
      <c r="N29" s="43"/>
      <c r="O29" s="43">
        <v>0</v>
      </c>
      <c r="P29" s="43"/>
      <c r="Q29" s="43">
        <v>9630</v>
      </c>
      <c r="R29" s="43"/>
      <c r="S29" s="65">
        <v>0</v>
      </c>
      <c r="T29" s="43"/>
      <c r="U29" s="43">
        <v>8801</v>
      </c>
      <c r="V29" s="43"/>
      <c r="W29" s="43">
        <f>11926+838767</f>
        <v>850693</v>
      </c>
      <c r="X29" s="43"/>
      <c r="Y29" s="43">
        <v>0</v>
      </c>
      <c r="Z29" s="43"/>
      <c r="AA29" s="43">
        <v>0</v>
      </c>
      <c r="AB29" s="43"/>
      <c r="AC29" s="43">
        <f>SUM(O29:AA29)</f>
        <v>869124</v>
      </c>
      <c r="AD29" s="43"/>
      <c r="AE29" s="43">
        <f>AC29+M29</f>
        <v>62803</v>
      </c>
      <c r="AF29" s="43"/>
      <c r="AG29" s="43">
        <v>1346413</v>
      </c>
      <c r="AH29" s="43"/>
      <c r="AI29" s="43">
        <f t="shared" si="4"/>
        <v>1409216</v>
      </c>
    </row>
    <row r="30" spans="1:35" ht="12" customHeight="1">
      <c r="A30" s="15" t="s">
        <v>356</v>
      </c>
      <c r="B30" s="4"/>
      <c r="C30" s="15" t="s">
        <v>46</v>
      </c>
      <c r="D30" s="4"/>
      <c r="E30" s="65">
        <v>637481.97</v>
      </c>
      <c r="F30" s="65"/>
      <c r="G30" s="65">
        <v>35298.25</v>
      </c>
      <c r="H30" s="65"/>
      <c r="I30" s="65">
        <v>0</v>
      </c>
      <c r="J30" s="65"/>
      <c r="K30" s="65">
        <v>0</v>
      </c>
      <c r="L30" s="65"/>
      <c r="M30" s="65">
        <v>-602183.72</v>
      </c>
      <c r="N30" s="65"/>
      <c r="O30" s="65">
        <v>0</v>
      </c>
      <c r="P30" s="65"/>
      <c r="Q30" s="65">
        <v>602730.74</v>
      </c>
      <c r="R30" s="65"/>
      <c r="S30" s="65">
        <v>0</v>
      </c>
      <c r="T30" s="65"/>
      <c r="U30" s="65">
        <v>1178.76</v>
      </c>
      <c r="V30" s="65"/>
      <c r="W30" s="65">
        <v>11891.34</v>
      </c>
      <c r="X30" s="65"/>
      <c r="Y30" s="65">
        <v>0</v>
      </c>
      <c r="Z30" s="65"/>
      <c r="AA30" s="65">
        <v>0</v>
      </c>
      <c r="AB30" s="65"/>
      <c r="AC30" s="65">
        <f t="shared" ref="AC30:AC31" si="8">SUM(O30:AA30)</f>
        <v>615800.84</v>
      </c>
      <c r="AD30" s="65"/>
      <c r="AE30" s="65">
        <v>13617.12</v>
      </c>
      <c r="AF30" s="65"/>
      <c r="AG30" s="65">
        <v>679365.47</v>
      </c>
      <c r="AH30" s="65"/>
      <c r="AI30" s="65">
        <v>692982.59</v>
      </c>
    </row>
    <row r="31" spans="1:35" ht="12" customHeight="1">
      <c r="A31" s="15" t="s">
        <v>559</v>
      </c>
      <c r="B31" s="4"/>
      <c r="C31" s="15" t="s">
        <v>47</v>
      </c>
      <c r="D31" s="4"/>
      <c r="E31" s="65">
        <v>2697535.63</v>
      </c>
      <c r="F31" s="65"/>
      <c r="G31" s="65">
        <v>52681.62</v>
      </c>
      <c r="H31" s="65"/>
      <c r="I31" s="65">
        <v>6454.05</v>
      </c>
      <c r="J31" s="65"/>
      <c r="K31" s="65">
        <v>0</v>
      </c>
      <c r="L31" s="65"/>
      <c r="M31" s="65">
        <v>-2638399.96</v>
      </c>
      <c r="N31" s="65"/>
      <c r="O31" s="65">
        <v>1156291.57</v>
      </c>
      <c r="P31" s="65"/>
      <c r="Q31" s="65">
        <v>2265748</v>
      </c>
      <c r="R31" s="65"/>
      <c r="S31" s="65">
        <v>0</v>
      </c>
      <c r="T31" s="65"/>
      <c r="U31" s="65">
        <v>6130.76</v>
      </c>
      <c r="V31" s="65"/>
      <c r="W31" s="65">
        <v>12947.13</v>
      </c>
      <c r="X31" s="65"/>
      <c r="Y31" s="65">
        <v>0</v>
      </c>
      <c r="Z31" s="65"/>
      <c r="AA31" s="65">
        <v>0</v>
      </c>
      <c r="AB31" s="65"/>
      <c r="AC31" s="65">
        <f t="shared" si="8"/>
        <v>3441117.46</v>
      </c>
      <c r="AD31" s="65"/>
      <c r="AE31" s="65">
        <v>802717.5</v>
      </c>
      <c r="AF31" s="65"/>
      <c r="AG31" s="65">
        <v>565372.54</v>
      </c>
      <c r="AH31" s="65"/>
      <c r="AI31" s="65">
        <v>1368090.04</v>
      </c>
    </row>
    <row r="32" spans="1:35" ht="12" hidden="1" customHeight="1">
      <c r="A32" s="15" t="s">
        <v>618</v>
      </c>
      <c r="B32" s="4"/>
      <c r="C32" s="15" t="s">
        <v>569</v>
      </c>
      <c r="D32" s="4"/>
      <c r="E32" s="43"/>
      <c r="F32" s="43"/>
      <c r="G32" s="43"/>
      <c r="H32" s="43"/>
      <c r="I32" s="43"/>
      <c r="J32" s="43"/>
      <c r="K32" s="43"/>
      <c r="L32" s="43"/>
      <c r="M32" s="43">
        <f t="shared" si="3"/>
        <v>0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f>SUM(O32:AA32)</f>
        <v>0</v>
      </c>
      <c r="AD32" s="43"/>
      <c r="AE32" s="43">
        <f>AC32+M32</f>
        <v>0</v>
      </c>
      <c r="AF32" s="43"/>
      <c r="AG32" s="43"/>
      <c r="AH32" s="43"/>
      <c r="AI32" s="43">
        <f t="shared" si="4"/>
        <v>0</v>
      </c>
    </row>
    <row r="33" spans="1:35" ht="12" customHeight="1">
      <c r="A33" s="4" t="s">
        <v>113</v>
      </c>
      <c r="B33" s="4"/>
      <c r="C33" s="4" t="s">
        <v>114</v>
      </c>
      <c r="D33" s="4"/>
      <c r="E33" s="43">
        <v>12709976</v>
      </c>
      <c r="F33" s="43"/>
      <c r="G33" s="43">
        <v>216850</v>
      </c>
      <c r="H33" s="43"/>
      <c r="I33" s="43">
        <v>0</v>
      </c>
      <c r="J33" s="43"/>
      <c r="K33" s="43">
        <v>0</v>
      </c>
      <c r="L33" s="43"/>
      <c r="M33" s="43">
        <f t="shared" si="3"/>
        <v>-12493126</v>
      </c>
      <c r="N33" s="43"/>
      <c r="O33" s="43">
        <v>3444832</v>
      </c>
      <c r="P33" s="43"/>
      <c r="Q33" s="43">
        <v>504489</v>
      </c>
      <c r="R33" s="43"/>
      <c r="S33" s="43">
        <v>32549</v>
      </c>
      <c r="T33" s="43"/>
      <c r="U33" s="43">
        <v>8438</v>
      </c>
      <c r="V33" s="43"/>
      <c r="W33" s="43">
        <f>4889459+7735000+29254-4346+46583</f>
        <v>12695950</v>
      </c>
      <c r="X33" s="43"/>
      <c r="Y33" s="43">
        <v>-399881</v>
      </c>
      <c r="Z33" s="43"/>
      <c r="AA33" s="43">
        <v>510000</v>
      </c>
      <c r="AB33" s="43"/>
      <c r="AC33" s="43">
        <f>SUM(O33:AA33)</f>
        <v>16796377</v>
      </c>
      <c r="AD33" s="43"/>
      <c r="AE33" s="43">
        <f>AC33+M33</f>
        <v>4303251</v>
      </c>
      <c r="AF33" s="43"/>
      <c r="AG33" s="43">
        <v>9254313</v>
      </c>
      <c r="AH33" s="43"/>
      <c r="AI33" s="43">
        <f t="shared" si="4"/>
        <v>13557564</v>
      </c>
    </row>
    <row r="34" spans="1:35" ht="12" customHeight="1">
      <c r="A34" s="12" t="s">
        <v>615</v>
      </c>
      <c r="B34" s="15"/>
      <c r="C34" s="15" t="s">
        <v>17</v>
      </c>
      <c r="D34" s="15"/>
      <c r="E34" s="43">
        <v>7874614</v>
      </c>
      <c r="F34" s="43"/>
      <c r="G34" s="43">
        <v>153696</v>
      </c>
      <c r="H34" s="43"/>
      <c r="I34" s="43">
        <v>92238</v>
      </c>
      <c r="J34" s="43"/>
      <c r="K34" s="43">
        <v>0</v>
      </c>
      <c r="L34" s="43"/>
      <c r="M34" s="43">
        <f t="shared" si="3"/>
        <v>-7628680</v>
      </c>
      <c r="N34" s="43"/>
      <c r="O34" s="43">
        <v>5658014</v>
      </c>
      <c r="P34" s="43"/>
      <c r="Q34" s="43">
        <v>3177827</v>
      </c>
      <c r="R34" s="43"/>
      <c r="S34" s="43">
        <v>0</v>
      </c>
      <c r="T34" s="43"/>
      <c r="U34" s="43">
        <v>26913</v>
      </c>
      <c r="V34" s="43"/>
      <c r="W34" s="43">
        <v>62588</v>
      </c>
      <c r="X34" s="43"/>
      <c r="Y34" s="43">
        <v>0</v>
      </c>
      <c r="Z34" s="43"/>
      <c r="AA34" s="43">
        <v>0</v>
      </c>
      <c r="AB34" s="43"/>
      <c r="AC34" s="43">
        <f>SUM(O34:AA34)</f>
        <v>8925342</v>
      </c>
      <c r="AD34" s="43"/>
      <c r="AE34" s="43">
        <f>AC34+M34</f>
        <v>1296662</v>
      </c>
      <c r="AF34" s="43"/>
      <c r="AG34" s="43">
        <v>23260620</v>
      </c>
      <c r="AH34" s="43"/>
      <c r="AI34" s="43">
        <f t="shared" si="4"/>
        <v>24557282</v>
      </c>
    </row>
    <row r="35" spans="1:35" ht="12" customHeight="1">
      <c r="A35" s="12" t="s">
        <v>616</v>
      </c>
      <c r="B35" s="12"/>
      <c r="C35" s="12" t="s">
        <v>17</v>
      </c>
      <c r="D35" s="15"/>
      <c r="E35" s="43">
        <v>61633596</v>
      </c>
      <c r="F35" s="43"/>
      <c r="G35" s="43">
        <v>3054275</v>
      </c>
      <c r="H35" s="43"/>
      <c r="I35" s="43">
        <v>2386241</v>
      </c>
      <c r="J35" s="43"/>
      <c r="K35" s="43">
        <v>0</v>
      </c>
      <c r="L35" s="43"/>
      <c r="M35" s="43">
        <f t="shared" si="3"/>
        <v>-56193080</v>
      </c>
      <c r="N35" s="43"/>
      <c r="O35" s="43">
        <v>29042241</v>
      </c>
      <c r="P35" s="43"/>
      <c r="Q35" s="43">
        <v>28363796</v>
      </c>
      <c r="R35" s="43"/>
      <c r="S35" s="43">
        <v>0</v>
      </c>
      <c r="T35" s="43"/>
      <c r="U35" s="43">
        <v>339555</v>
      </c>
      <c r="V35" s="43"/>
      <c r="W35" s="43">
        <f>2099+844613</f>
        <v>846712</v>
      </c>
      <c r="X35" s="43"/>
      <c r="Y35" s="43">
        <v>0</v>
      </c>
      <c r="Z35" s="43"/>
      <c r="AA35" s="43">
        <v>0</v>
      </c>
      <c r="AB35" s="43"/>
      <c r="AC35" s="43">
        <f>SUM(O35:AA35)</f>
        <v>58592304</v>
      </c>
      <c r="AD35" s="43"/>
      <c r="AE35" s="43">
        <f>AC35+M35</f>
        <v>2399224</v>
      </c>
      <c r="AF35" s="43"/>
      <c r="AG35" s="43">
        <v>183967174</v>
      </c>
      <c r="AH35" s="43"/>
      <c r="AI35" s="43">
        <f t="shared" si="4"/>
        <v>186366398</v>
      </c>
    </row>
    <row r="36" spans="1:35" ht="12" customHeight="1">
      <c r="A36" s="4" t="s">
        <v>70</v>
      </c>
      <c r="B36" s="4"/>
      <c r="C36" s="4" t="s">
        <v>48</v>
      </c>
      <c r="D36" s="4"/>
      <c r="E36" s="65">
        <v>196319.9</v>
      </c>
      <c r="F36" s="65"/>
      <c r="G36" s="65">
        <v>6178.82</v>
      </c>
      <c r="H36" s="65"/>
      <c r="I36" s="65">
        <v>0</v>
      </c>
      <c r="J36" s="65"/>
      <c r="K36" s="65">
        <v>0</v>
      </c>
      <c r="L36" s="65"/>
      <c r="M36" s="65">
        <v>-190141.08</v>
      </c>
      <c r="N36" s="65"/>
      <c r="O36" s="65">
        <v>0</v>
      </c>
      <c r="P36" s="65"/>
      <c r="Q36" s="65">
        <v>208022.93</v>
      </c>
      <c r="R36" s="65"/>
      <c r="S36" s="43">
        <v>0</v>
      </c>
      <c r="T36" s="65"/>
      <c r="U36" s="65">
        <v>548.85</v>
      </c>
      <c r="V36" s="65"/>
      <c r="W36" s="65">
        <v>1078.0899999999999</v>
      </c>
      <c r="X36" s="65"/>
      <c r="Y36" s="65">
        <v>0</v>
      </c>
      <c r="Z36" s="65"/>
      <c r="AA36" s="65">
        <v>0</v>
      </c>
      <c r="AB36" s="65"/>
      <c r="AC36" s="65">
        <f t="shared" ref="AC36" si="9">SUM(O36:AA36)</f>
        <v>209649.87</v>
      </c>
      <c r="AD36" s="65"/>
      <c r="AE36" s="65">
        <v>19508.79</v>
      </c>
      <c r="AF36" s="65"/>
      <c r="AG36" s="65">
        <v>136153.46</v>
      </c>
      <c r="AH36" s="65"/>
      <c r="AI36" s="65">
        <v>155662.25</v>
      </c>
    </row>
    <row r="37" spans="1:35" ht="12" hidden="1" customHeight="1">
      <c r="A37" s="4" t="s">
        <v>617</v>
      </c>
      <c r="B37" s="4"/>
      <c r="C37" s="4" t="s">
        <v>90</v>
      </c>
      <c r="D37" s="4"/>
      <c r="E37" s="43"/>
      <c r="F37" s="43"/>
      <c r="G37" s="43"/>
      <c r="H37" s="43"/>
      <c r="I37" s="43"/>
      <c r="J37" s="43"/>
      <c r="K37" s="43"/>
      <c r="L37" s="43"/>
      <c r="M37" s="43">
        <f t="shared" si="3"/>
        <v>0</v>
      </c>
      <c r="N37" s="43"/>
      <c r="O37" s="43"/>
      <c r="P37" s="43"/>
      <c r="Q37" s="43"/>
      <c r="R37" s="43"/>
      <c r="S37" s="43">
        <v>0</v>
      </c>
      <c r="T37" s="43"/>
      <c r="U37" s="43"/>
      <c r="V37" s="43"/>
      <c r="W37" s="43"/>
      <c r="X37" s="43"/>
      <c r="Y37" s="43"/>
      <c r="Z37" s="43"/>
      <c r="AA37" s="43"/>
      <c r="AB37" s="43"/>
      <c r="AC37" s="43">
        <f>SUM(O37:AA37)</f>
        <v>0</v>
      </c>
      <c r="AD37" s="43"/>
      <c r="AE37" s="43">
        <f>AC37+M37</f>
        <v>0</v>
      </c>
      <c r="AF37" s="43"/>
      <c r="AG37" s="43"/>
      <c r="AH37" s="43"/>
      <c r="AI37" s="43">
        <f t="shared" si="4"/>
        <v>0</v>
      </c>
    </row>
    <row r="38" spans="1:35" ht="12" customHeight="1">
      <c r="A38" s="15" t="s">
        <v>359</v>
      </c>
      <c r="B38" s="15"/>
      <c r="C38" s="15" t="s">
        <v>68</v>
      </c>
      <c r="D38" s="15"/>
      <c r="E38" s="65">
        <v>895533.3</v>
      </c>
      <c r="F38" s="65"/>
      <c r="G38" s="65">
        <v>22355.3</v>
      </c>
      <c r="H38" s="65"/>
      <c r="I38" s="65">
        <v>15936.69</v>
      </c>
      <c r="J38" s="65"/>
      <c r="K38" s="65">
        <v>0</v>
      </c>
      <c r="L38" s="65"/>
      <c r="M38" s="65">
        <v>-857241.31</v>
      </c>
      <c r="N38" s="65"/>
      <c r="O38" s="65">
        <v>661569.16</v>
      </c>
      <c r="P38" s="65"/>
      <c r="Q38" s="65">
        <v>558647.80000000005</v>
      </c>
      <c r="R38" s="65"/>
      <c r="S38" s="43">
        <v>0</v>
      </c>
      <c r="T38" s="65"/>
      <c r="U38" s="65">
        <v>6538.89</v>
      </c>
      <c r="V38" s="65"/>
      <c r="W38" s="65">
        <v>473.91</v>
      </c>
      <c r="X38" s="65"/>
      <c r="Y38" s="65">
        <v>0</v>
      </c>
      <c r="Z38" s="65"/>
      <c r="AA38" s="65">
        <v>0</v>
      </c>
      <c r="AB38" s="65"/>
      <c r="AC38" s="65">
        <f t="shared" ref="AC38" si="10">SUM(O38:AA38)</f>
        <v>1227229.7599999998</v>
      </c>
      <c r="AD38" s="65"/>
      <c r="AE38" s="65">
        <v>369988.45</v>
      </c>
      <c r="AF38" s="65"/>
      <c r="AG38" s="65">
        <v>657039.94999999995</v>
      </c>
      <c r="AH38" s="65"/>
      <c r="AI38" s="65">
        <v>1027028.4</v>
      </c>
    </row>
    <row r="39" spans="1:35" ht="12" hidden="1" customHeight="1">
      <c r="A39" s="12" t="s">
        <v>360</v>
      </c>
      <c r="B39" s="15"/>
      <c r="C39" s="15" t="s">
        <v>50</v>
      </c>
      <c r="D39" s="15"/>
      <c r="E39" s="43"/>
      <c r="F39" s="43"/>
      <c r="G39" s="43"/>
      <c r="H39" s="43"/>
      <c r="I39" s="43"/>
      <c r="J39" s="43"/>
      <c r="K39" s="43"/>
      <c r="L39" s="43"/>
      <c r="M39" s="43">
        <f t="shared" si="3"/>
        <v>0</v>
      </c>
      <c r="N39" s="43"/>
      <c r="O39" s="43"/>
      <c r="P39" s="43"/>
      <c r="Q39" s="43"/>
      <c r="R39" s="43"/>
      <c r="S39" s="43">
        <v>0</v>
      </c>
      <c r="T39" s="43"/>
      <c r="U39" s="43"/>
      <c r="V39" s="43"/>
      <c r="W39" s="43"/>
      <c r="X39" s="43"/>
      <c r="Y39" s="43"/>
      <c r="Z39" s="43"/>
      <c r="AA39" s="43"/>
      <c r="AB39" s="43"/>
      <c r="AC39" s="43">
        <f t="shared" ref="AC39:AC46" si="11">SUM(O39:AA39)</f>
        <v>0</v>
      </c>
      <c r="AD39" s="43"/>
      <c r="AE39" s="43">
        <f t="shared" ref="AE39:AE46" si="12">AC39+M39</f>
        <v>0</v>
      </c>
      <c r="AF39" s="43"/>
      <c r="AG39" s="43"/>
      <c r="AH39" s="43"/>
      <c r="AI39" s="43">
        <f t="shared" si="4"/>
        <v>0</v>
      </c>
    </row>
    <row r="40" spans="1:35" ht="12" customHeight="1">
      <c r="A40" s="12" t="s">
        <v>621</v>
      </c>
      <c r="B40" s="15"/>
      <c r="C40" s="15" t="s">
        <v>17</v>
      </c>
      <c r="D40" s="15"/>
      <c r="E40" s="43">
        <v>66571657</v>
      </c>
      <c r="F40" s="43"/>
      <c r="G40" s="43">
        <v>1429845</v>
      </c>
      <c r="H40" s="43"/>
      <c r="I40" s="43">
        <v>952229</v>
      </c>
      <c r="J40" s="43"/>
      <c r="K40" s="43">
        <v>1130000</v>
      </c>
      <c r="L40" s="43"/>
      <c r="M40" s="43">
        <f t="shared" si="3"/>
        <v>-63059583</v>
      </c>
      <c r="N40" s="43"/>
      <c r="O40" s="43">
        <v>39464409</v>
      </c>
      <c r="P40" s="43"/>
      <c r="Q40" s="43">
        <v>27295828</v>
      </c>
      <c r="R40" s="43"/>
      <c r="S40" s="43">
        <v>0</v>
      </c>
      <c r="T40" s="43"/>
      <c r="U40" s="43">
        <v>697376</v>
      </c>
      <c r="V40" s="43"/>
      <c r="W40" s="43">
        <f>7905+103214</f>
        <v>111119</v>
      </c>
      <c r="X40" s="43"/>
      <c r="Y40" s="43">
        <v>0</v>
      </c>
      <c r="Z40" s="43"/>
      <c r="AA40" s="43">
        <v>0</v>
      </c>
      <c r="AB40" s="43"/>
      <c r="AC40" s="43">
        <f t="shared" si="11"/>
        <v>67568732</v>
      </c>
      <c r="AD40" s="43"/>
      <c r="AE40" s="43">
        <f t="shared" si="12"/>
        <v>4509149</v>
      </c>
      <c r="AF40" s="43"/>
      <c r="AG40" s="43">
        <v>98372366</v>
      </c>
      <c r="AH40" s="43"/>
      <c r="AI40" s="43">
        <f t="shared" si="4"/>
        <v>102881515</v>
      </c>
    </row>
    <row r="41" spans="1:35" ht="12" customHeight="1">
      <c r="A41" s="12" t="s">
        <v>606</v>
      </c>
      <c r="B41" s="15"/>
      <c r="C41" s="15" t="s">
        <v>20</v>
      </c>
      <c r="D41" s="15"/>
      <c r="E41" s="43">
        <v>2677637</v>
      </c>
      <c r="F41" s="43"/>
      <c r="G41" s="43">
        <v>11425</v>
      </c>
      <c r="H41" s="43"/>
      <c r="I41" s="43">
        <v>13617</v>
      </c>
      <c r="J41" s="43"/>
      <c r="K41" s="43">
        <v>0</v>
      </c>
      <c r="L41" s="43"/>
      <c r="M41" s="43">
        <f t="shared" si="3"/>
        <v>-2652595</v>
      </c>
      <c r="N41" s="43"/>
      <c r="O41" s="43">
        <v>978692</v>
      </c>
      <c r="P41" s="43"/>
      <c r="Q41" s="43">
        <v>1322436</v>
      </c>
      <c r="R41" s="43"/>
      <c r="S41" s="43">
        <v>0</v>
      </c>
      <c r="T41" s="43"/>
      <c r="U41" s="43">
        <v>1049</v>
      </c>
      <c r="V41" s="43"/>
      <c r="W41" s="43">
        <v>9786</v>
      </c>
      <c r="X41" s="43"/>
      <c r="Y41" s="43">
        <v>0</v>
      </c>
      <c r="Z41" s="43"/>
      <c r="AA41" s="43">
        <v>0</v>
      </c>
      <c r="AB41" s="43"/>
      <c r="AC41" s="43">
        <f t="shared" si="11"/>
        <v>2311963</v>
      </c>
      <c r="AD41" s="43"/>
      <c r="AE41" s="43">
        <f t="shared" si="12"/>
        <v>-340632</v>
      </c>
      <c r="AF41" s="43"/>
      <c r="AG41" s="43">
        <v>1504309</v>
      </c>
      <c r="AH41" s="43"/>
      <c r="AI41" s="43">
        <f t="shared" si="4"/>
        <v>1163677</v>
      </c>
    </row>
    <row r="42" spans="1:35" ht="12" customHeight="1">
      <c r="A42" s="3" t="s">
        <v>122</v>
      </c>
      <c r="B42" s="12"/>
      <c r="C42" s="3" t="s">
        <v>53</v>
      </c>
      <c r="D42" s="15"/>
      <c r="E42" s="43">
        <v>25660887</v>
      </c>
      <c r="F42" s="43"/>
      <c r="G42" s="43">
        <v>721404</v>
      </c>
      <c r="H42" s="43"/>
      <c r="I42" s="43">
        <v>38285</v>
      </c>
      <c r="J42" s="43"/>
      <c r="K42" s="43">
        <v>0</v>
      </c>
      <c r="L42" s="43"/>
      <c r="M42" s="43">
        <f t="shared" si="3"/>
        <v>-24901198</v>
      </c>
      <c r="N42" s="43"/>
      <c r="O42" s="43">
        <v>11623962</v>
      </c>
      <c r="P42" s="43"/>
      <c r="Q42" s="43">
        <v>17603989</v>
      </c>
      <c r="R42" s="43"/>
      <c r="S42" s="43">
        <v>21169</v>
      </c>
      <c r="T42" s="43"/>
      <c r="U42" s="43">
        <v>159600</v>
      </c>
      <c r="V42" s="43"/>
      <c r="W42" s="43">
        <f>24736+41362</f>
        <v>66098</v>
      </c>
      <c r="X42" s="43"/>
      <c r="Y42" s="43">
        <v>0</v>
      </c>
      <c r="Z42" s="43"/>
      <c r="AA42" s="43">
        <v>0</v>
      </c>
      <c r="AB42" s="43"/>
      <c r="AC42" s="43">
        <f t="shared" si="11"/>
        <v>29474818</v>
      </c>
      <c r="AD42" s="43"/>
      <c r="AE42" s="43">
        <f t="shared" si="12"/>
        <v>4573620</v>
      </c>
      <c r="AF42" s="43"/>
      <c r="AG42" s="43">
        <v>25431418</v>
      </c>
      <c r="AH42" s="43"/>
      <c r="AI42" s="43">
        <f t="shared" si="4"/>
        <v>30005038</v>
      </c>
    </row>
    <row r="43" spans="1:35" ht="12" hidden="1" customHeight="1">
      <c r="A43" s="12" t="s">
        <v>125</v>
      </c>
      <c r="B43" s="12"/>
      <c r="C43" s="12" t="s">
        <v>68</v>
      </c>
      <c r="D43" s="15"/>
      <c r="E43" s="43"/>
      <c r="F43" s="43"/>
      <c r="G43" s="43"/>
      <c r="H43" s="43"/>
      <c r="I43" s="43"/>
      <c r="J43" s="43"/>
      <c r="K43" s="43"/>
      <c r="L43" s="43"/>
      <c r="M43" s="43">
        <f t="shared" si="3"/>
        <v>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>
        <f t="shared" si="11"/>
        <v>0</v>
      </c>
      <c r="AD43" s="43"/>
      <c r="AE43" s="43">
        <f t="shared" si="12"/>
        <v>0</v>
      </c>
      <c r="AF43" s="43"/>
      <c r="AG43" s="43"/>
      <c r="AH43" s="43"/>
      <c r="AI43" s="43">
        <f t="shared" si="4"/>
        <v>0</v>
      </c>
    </row>
    <row r="44" spans="1:35" ht="12" hidden="1" customHeight="1">
      <c r="A44" s="15" t="s">
        <v>506</v>
      </c>
      <c r="B44" s="4"/>
      <c r="C44" s="15" t="s">
        <v>17</v>
      </c>
      <c r="D44" s="4"/>
      <c r="E44" s="43"/>
      <c r="F44" s="43"/>
      <c r="G44" s="43"/>
      <c r="H44" s="43"/>
      <c r="I44" s="43"/>
      <c r="J44" s="43"/>
      <c r="K44" s="43"/>
      <c r="L44" s="43"/>
      <c r="M44" s="43">
        <f t="shared" si="3"/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>
        <f t="shared" si="11"/>
        <v>0</v>
      </c>
      <c r="AD44" s="43"/>
      <c r="AE44" s="43">
        <f t="shared" si="12"/>
        <v>0</v>
      </c>
      <c r="AF44" s="43"/>
      <c r="AG44" s="43"/>
      <c r="AH44" s="43"/>
      <c r="AI44" s="43">
        <f t="shared" si="4"/>
        <v>0</v>
      </c>
    </row>
    <row r="45" spans="1:35" ht="12" customHeight="1">
      <c r="A45" s="12" t="s">
        <v>423</v>
      </c>
      <c r="B45" s="12"/>
      <c r="C45" s="12" t="s">
        <v>18</v>
      </c>
      <c r="D45" s="15"/>
      <c r="E45" s="43">
        <v>1928995</v>
      </c>
      <c r="F45" s="43"/>
      <c r="G45" s="43">
        <v>63468</v>
      </c>
      <c r="H45" s="43"/>
      <c r="I45" s="43">
        <v>10239</v>
      </c>
      <c r="J45" s="43"/>
      <c r="K45" s="43">
        <v>23005</v>
      </c>
      <c r="L45" s="43"/>
      <c r="M45" s="43">
        <f t="shared" si="3"/>
        <v>-1832283</v>
      </c>
      <c r="N45" s="43"/>
      <c r="O45" s="43">
        <f>935152+873612</f>
        <v>1808764</v>
      </c>
      <c r="P45" s="43"/>
      <c r="Q45" s="43">
        <v>134964</v>
      </c>
      <c r="R45" s="43"/>
      <c r="S45" s="43">
        <v>331</v>
      </c>
      <c r="T45" s="43"/>
      <c r="U45" s="43">
        <v>10165</v>
      </c>
      <c r="V45" s="43"/>
      <c r="W45" s="43">
        <f>33000+6834</f>
        <v>39834</v>
      </c>
      <c r="X45" s="43"/>
      <c r="Y45" s="43">
        <v>0</v>
      </c>
      <c r="Z45" s="43"/>
      <c r="AA45" s="43">
        <v>0</v>
      </c>
      <c r="AB45" s="43"/>
      <c r="AC45" s="43">
        <f t="shared" si="11"/>
        <v>1994058</v>
      </c>
      <c r="AD45" s="43"/>
      <c r="AE45" s="43">
        <f t="shared" si="12"/>
        <v>161775</v>
      </c>
      <c r="AF45" s="43"/>
      <c r="AG45" s="43">
        <v>1914275</v>
      </c>
      <c r="AH45" s="43"/>
      <c r="AI45" s="43">
        <f t="shared" si="4"/>
        <v>2076050</v>
      </c>
    </row>
    <row r="46" spans="1:35" s="4" customFormat="1" ht="12">
      <c r="A46" s="12" t="s">
        <v>16</v>
      </c>
      <c r="B46" s="12"/>
      <c r="C46" s="12" t="s">
        <v>17</v>
      </c>
      <c r="D46" s="15"/>
      <c r="E46" s="43">
        <v>4451107</v>
      </c>
      <c r="F46" s="43"/>
      <c r="G46" s="43">
        <v>123127</v>
      </c>
      <c r="H46" s="43"/>
      <c r="I46" s="43">
        <v>0</v>
      </c>
      <c r="J46" s="43"/>
      <c r="K46" s="43">
        <v>0</v>
      </c>
      <c r="L46" s="43"/>
      <c r="M46" s="43">
        <f t="shared" si="3"/>
        <v>-4327980</v>
      </c>
      <c r="N46" s="43"/>
      <c r="O46" s="43">
        <f>2500515+4693</f>
        <v>2505208</v>
      </c>
      <c r="P46" s="43"/>
      <c r="Q46" s="43">
        <v>583896</v>
      </c>
      <c r="R46" s="43"/>
      <c r="S46" s="43">
        <v>39660</v>
      </c>
      <c r="T46" s="43"/>
      <c r="U46" s="43">
        <v>15008</v>
      </c>
      <c r="V46" s="43"/>
      <c r="W46" s="43">
        <f>15923+1690996</f>
        <v>1706919</v>
      </c>
      <c r="X46" s="43"/>
      <c r="Y46" s="43">
        <v>0</v>
      </c>
      <c r="Z46" s="43"/>
      <c r="AA46" s="43">
        <v>0</v>
      </c>
      <c r="AB46" s="43"/>
      <c r="AC46" s="43">
        <f t="shared" si="11"/>
        <v>4850691</v>
      </c>
      <c r="AD46" s="43"/>
      <c r="AE46" s="43">
        <f t="shared" si="12"/>
        <v>522711</v>
      </c>
      <c r="AF46" s="43"/>
      <c r="AG46" s="43">
        <v>3223465</v>
      </c>
      <c r="AH46" s="43"/>
      <c r="AI46" s="43">
        <f t="shared" si="4"/>
        <v>3746176</v>
      </c>
    </row>
    <row r="47" spans="1:35" s="4" customFormat="1" ht="12">
      <c r="A47" s="4" t="s">
        <v>136</v>
      </c>
      <c r="C47" s="4" t="s">
        <v>137</v>
      </c>
      <c r="E47" s="65">
        <v>2770370.95</v>
      </c>
      <c r="F47" s="65"/>
      <c r="G47" s="65">
        <v>79186.740000000005</v>
      </c>
      <c r="H47" s="65"/>
      <c r="I47" s="65">
        <v>4998.58</v>
      </c>
      <c r="J47" s="65"/>
      <c r="K47" s="65">
        <v>0</v>
      </c>
      <c r="L47" s="65"/>
      <c r="M47" s="65">
        <v>-2686185.63</v>
      </c>
      <c r="N47" s="65"/>
      <c r="O47" s="65">
        <v>698884.14</v>
      </c>
      <c r="P47" s="65"/>
      <c r="Q47" s="65">
        <v>2006282.6600000001</v>
      </c>
      <c r="R47" s="65"/>
      <c r="S47" s="65">
        <v>0</v>
      </c>
      <c r="T47" s="65"/>
      <c r="U47" s="65">
        <v>7142.96</v>
      </c>
      <c r="V47" s="65"/>
      <c r="W47" s="65">
        <v>111429.32</v>
      </c>
      <c r="X47" s="65"/>
      <c r="Y47" s="65">
        <v>0</v>
      </c>
      <c r="Z47" s="65"/>
      <c r="AA47" s="65">
        <v>0</v>
      </c>
      <c r="AB47" s="65"/>
      <c r="AC47" s="65">
        <f t="shared" ref="AC47:AC49" si="13">SUM(O47:AA47)</f>
        <v>2823739.08</v>
      </c>
      <c r="AD47" s="65"/>
      <c r="AE47" s="65">
        <v>137553.45000000001</v>
      </c>
      <c r="AF47" s="65"/>
      <c r="AG47" s="65">
        <v>1890952.58</v>
      </c>
      <c r="AH47" s="65"/>
      <c r="AI47" s="65">
        <v>2028506.03</v>
      </c>
    </row>
    <row r="48" spans="1:35" s="4" customFormat="1" ht="12">
      <c r="A48" s="12" t="s">
        <v>363</v>
      </c>
      <c r="B48" s="15"/>
      <c r="C48" s="15" t="s">
        <v>52</v>
      </c>
      <c r="D48" s="15"/>
      <c r="E48" s="65">
        <v>1540753.54</v>
      </c>
      <c r="F48" s="65"/>
      <c r="G48" s="65">
        <v>43036.46</v>
      </c>
      <c r="H48" s="65"/>
      <c r="I48" s="65">
        <v>8447.02</v>
      </c>
      <c r="J48" s="65"/>
      <c r="K48" s="65">
        <v>0</v>
      </c>
      <c r="L48" s="65"/>
      <c r="M48" s="65">
        <v>-1489270.06</v>
      </c>
      <c r="N48" s="65"/>
      <c r="O48" s="65">
        <v>1135984.33</v>
      </c>
      <c r="P48" s="65"/>
      <c r="Q48" s="65">
        <v>1102921.44</v>
      </c>
      <c r="R48" s="65"/>
      <c r="S48" s="65">
        <v>0</v>
      </c>
      <c r="T48" s="65"/>
      <c r="U48" s="65">
        <v>1500.58</v>
      </c>
      <c r="V48" s="65"/>
      <c r="W48" s="65">
        <v>211.77</v>
      </c>
      <c r="X48" s="65"/>
      <c r="Y48" s="65">
        <v>0</v>
      </c>
      <c r="Z48" s="65"/>
      <c r="AA48" s="65">
        <v>0</v>
      </c>
      <c r="AB48" s="65"/>
      <c r="AC48" s="65">
        <f t="shared" si="13"/>
        <v>2240618.12</v>
      </c>
      <c r="AD48" s="65"/>
      <c r="AE48" s="65">
        <v>751348.06</v>
      </c>
      <c r="AF48" s="65"/>
      <c r="AG48" s="65">
        <v>2351162.15</v>
      </c>
      <c r="AH48" s="65"/>
      <c r="AI48" s="65">
        <v>3102510.21</v>
      </c>
    </row>
    <row r="49" spans="1:35" s="4" customFormat="1" ht="12">
      <c r="A49" s="12" t="s">
        <v>365</v>
      </c>
      <c r="B49" s="15"/>
      <c r="C49" s="15" t="s">
        <v>53</v>
      </c>
      <c r="D49" s="15"/>
      <c r="E49" s="65">
        <v>651372.02</v>
      </c>
      <c r="F49" s="65"/>
      <c r="G49" s="65">
        <v>14228.58</v>
      </c>
      <c r="H49" s="65"/>
      <c r="I49" s="65">
        <v>598013.18000000005</v>
      </c>
      <c r="J49" s="65"/>
      <c r="K49" s="65">
        <v>0</v>
      </c>
      <c r="L49" s="65"/>
      <c r="M49" s="65">
        <v>-39130.26</v>
      </c>
      <c r="N49" s="65"/>
      <c r="O49" s="65">
        <v>0</v>
      </c>
      <c r="P49" s="65"/>
      <c r="Q49" s="65">
        <v>91096</v>
      </c>
      <c r="R49" s="65"/>
      <c r="S49" s="65">
        <v>0</v>
      </c>
      <c r="T49" s="65"/>
      <c r="U49" s="65">
        <v>3061.9</v>
      </c>
      <c r="V49" s="65"/>
      <c r="W49" s="65">
        <v>1014.47</v>
      </c>
      <c r="X49" s="65"/>
      <c r="Y49" s="65">
        <v>0</v>
      </c>
      <c r="Z49" s="65"/>
      <c r="AA49" s="65">
        <v>0</v>
      </c>
      <c r="AB49" s="65"/>
      <c r="AC49" s="65">
        <f t="shared" si="13"/>
        <v>95172.37</v>
      </c>
      <c r="AD49" s="65"/>
      <c r="AE49" s="65">
        <v>56042.11</v>
      </c>
      <c r="AF49" s="65"/>
      <c r="AG49" s="65">
        <v>505303.14</v>
      </c>
      <c r="AH49" s="65"/>
      <c r="AI49" s="65">
        <v>561345.25</v>
      </c>
    </row>
    <row r="50" spans="1:35" s="4" customFormat="1" ht="12" hidden="1">
      <c r="A50" s="4" t="s">
        <v>32</v>
      </c>
      <c r="B50" s="15"/>
      <c r="C50" s="4" t="s">
        <v>54</v>
      </c>
      <c r="D50" s="15"/>
      <c r="E50" s="43"/>
      <c r="F50" s="43"/>
      <c r="G50" s="43"/>
      <c r="H50" s="43"/>
      <c r="I50" s="43"/>
      <c r="J50" s="43"/>
      <c r="K50" s="43"/>
      <c r="L50" s="43"/>
      <c r="M50" s="43">
        <f t="shared" si="3"/>
        <v>0</v>
      </c>
      <c r="N50" s="43"/>
      <c r="O50" s="43"/>
      <c r="P50" s="43"/>
      <c r="Q50" s="43"/>
      <c r="R50" s="43"/>
      <c r="S50" s="65">
        <v>0</v>
      </c>
      <c r="T50" s="43"/>
      <c r="U50" s="43"/>
      <c r="V50" s="43"/>
      <c r="W50" s="43"/>
      <c r="X50" s="43"/>
      <c r="Y50" s="43"/>
      <c r="Z50" s="43"/>
      <c r="AA50" s="43"/>
      <c r="AB50" s="43"/>
      <c r="AC50" s="43">
        <f>SUM(O50:AA50)</f>
        <v>0</v>
      </c>
      <c r="AD50" s="43"/>
      <c r="AE50" s="43">
        <f>AC50+M50</f>
        <v>0</v>
      </c>
      <c r="AF50" s="43"/>
      <c r="AG50" s="43"/>
      <c r="AH50" s="43"/>
      <c r="AI50" s="43">
        <f t="shared" si="4"/>
        <v>0</v>
      </c>
    </row>
    <row r="51" spans="1:35" s="4" customFormat="1" ht="12">
      <c r="A51" s="4" t="s">
        <v>371</v>
      </c>
      <c r="B51" s="15"/>
      <c r="C51" s="4" t="s">
        <v>55</v>
      </c>
      <c r="D51" s="15"/>
      <c r="E51" s="73">
        <v>721858.8</v>
      </c>
      <c r="F51" s="73"/>
      <c r="G51" s="73">
        <v>16901.12</v>
      </c>
      <c r="H51" s="73"/>
      <c r="I51" s="73">
        <v>18373.8</v>
      </c>
      <c r="J51" s="73"/>
      <c r="K51" s="73">
        <v>0</v>
      </c>
      <c r="L51" s="73"/>
      <c r="M51" s="73">
        <v>-686583.88</v>
      </c>
      <c r="N51" s="73"/>
      <c r="O51" s="73">
        <v>563320.78</v>
      </c>
      <c r="P51" s="73"/>
      <c r="Q51" s="73">
        <v>539329.80000000005</v>
      </c>
      <c r="R51" s="73"/>
      <c r="S51" s="73">
        <v>0</v>
      </c>
      <c r="T51" s="73"/>
      <c r="U51" s="73">
        <v>2206.89</v>
      </c>
      <c r="V51" s="73"/>
      <c r="W51" s="73">
        <v>1199.69</v>
      </c>
      <c r="X51" s="73"/>
      <c r="Y51" s="73">
        <v>0</v>
      </c>
      <c r="Z51" s="73"/>
      <c r="AA51" s="73">
        <v>0</v>
      </c>
      <c r="AB51" s="73"/>
      <c r="AC51" s="73">
        <f t="shared" ref="AC51" si="14">SUM(O51:AA51)</f>
        <v>1106057.1599999999</v>
      </c>
      <c r="AD51" s="73"/>
      <c r="AE51" s="73">
        <v>419473.28</v>
      </c>
      <c r="AF51" s="73"/>
      <c r="AG51" s="73">
        <v>297076.32</v>
      </c>
      <c r="AH51" s="73"/>
      <c r="AI51" s="73">
        <v>716549.6</v>
      </c>
    </row>
    <row r="52" spans="1:35" s="4" customFormat="1" ht="12" hidden="1">
      <c r="A52" s="4" t="s">
        <v>575</v>
      </c>
      <c r="C52" s="15" t="s">
        <v>41</v>
      </c>
      <c r="E52" s="43"/>
      <c r="F52" s="43"/>
      <c r="G52" s="43"/>
      <c r="H52" s="43"/>
      <c r="I52" s="43"/>
      <c r="J52" s="43"/>
      <c r="K52" s="43"/>
      <c r="L52" s="43"/>
      <c r="M52" s="43">
        <f t="shared" si="3"/>
        <v>0</v>
      </c>
      <c r="N52" s="43"/>
      <c r="O52" s="43"/>
      <c r="P52" s="43"/>
      <c r="Q52" s="43"/>
      <c r="R52" s="43"/>
      <c r="S52" s="65">
        <v>0</v>
      </c>
      <c r="T52" s="43"/>
      <c r="U52" s="43"/>
      <c r="V52" s="43"/>
      <c r="W52" s="43"/>
      <c r="X52" s="43"/>
      <c r="Y52" s="43"/>
      <c r="Z52" s="43"/>
      <c r="AA52" s="43"/>
      <c r="AB52" s="43"/>
      <c r="AC52" s="43">
        <f>SUM(O52:AA52)</f>
        <v>0</v>
      </c>
      <c r="AD52" s="43"/>
      <c r="AE52" s="43">
        <f>AC52+M52</f>
        <v>0</v>
      </c>
      <c r="AF52" s="43"/>
      <c r="AG52" s="43"/>
      <c r="AH52" s="43"/>
      <c r="AI52" s="43">
        <f t="shared" si="4"/>
        <v>0</v>
      </c>
    </row>
    <row r="53" spans="1:35" s="4" customFormat="1" ht="12">
      <c r="A53" s="12" t="s">
        <v>149</v>
      </c>
      <c r="B53" s="12"/>
      <c r="C53" s="12" t="s">
        <v>150</v>
      </c>
      <c r="D53" s="15"/>
      <c r="E53" s="43">
        <v>8242517</v>
      </c>
      <c r="F53" s="43"/>
      <c r="G53" s="43">
        <v>188396</v>
      </c>
      <c r="H53" s="43"/>
      <c r="I53" s="43">
        <v>0</v>
      </c>
      <c r="J53" s="43"/>
      <c r="K53" s="43">
        <v>4211</v>
      </c>
      <c r="L53" s="43"/>
      <c r="M53" s="43">
        <f t="shared" si="3"/>
        <v>-8049910</v>
      </c>
      <c r="N53" s="43"/>
      <c r="O53" s="43">
        <v>3437205</v>
      </c>
      <c r="P53" s="43"/>
      <c r="Q53" s="43">
        <v>4336937</v>
      </c>
      <c r="R53" s="43"/>
      <c r="S53" s="65">
        <v>0</v>
      </c>
      <c r="T53" s="43"/>
      <c r="U53" s="43">
        <v>94198</v>
      </c>
      <c r="V53" s="43"/>
      <c r="W53" s="43">
        <v>107178</v>
      </c>
      <c r="X53" s="43"/>
      <c r="Y53" s="43">
        <v>0</v>
      </c>
      <c r="Z53" s="43"/>
      <c r="AA53" s="43">
        <v>0</v>
      </c>
      <c r="AB53" s="43"/>
      <c r="AC53" s="43">
        <f>SUM(O53:AA53)</f>
        <v>7975518</v>
      </c>
      <c r="AD53" s="43"/>
      <c r="AE53" s="43">
        <f>AC53+M53</f>
        <v>-74392</v>
      </c>
      <c r="AF53" s="43"/>
      <c r="AG53" s="43">
        <v>8989690</v>
      </c>
      <c r="AH53" s="43"/>
      <c r="AI53" s="43">
        <f t="shared" si="4"/>
        <v>8915298</v>
      </c>
    </row>
    <row r="54" spans="1:35" s="4" customFormat="1" ht="12">
      <c r="A54" s="3" t="s">
        <v>34</v>
      </c>
      <c r="B54" s="15"/>
      <c r="C54" s="4" t="s">
        <v>55</v>
      </c>
      <c r="D54" s="15"/>
      <c r="E54" s="65">
        <v>503980.47</v>
      </c>
      <c r="F54" s="65"/>
      <c r="G54" s="65">
        <v>11052.19</v>
      </c>
      <c r="H54" s="65"/>
      <c r="I54" s="65">
        <v>0</v>
      </c>
      <c r="J54" s="65"/>
      <c r="K54" s="65">
        <v>0</v>
      </c>
      <c r="L54" s="65"/>
      <c r="M54" s="65">
        <v>-492928.28</v>
      </c>
      <c r="N54" s="65"/>
      <c r="O54" s="65">
        <v>174910.45</v>
      </c>
      <c r="P54" s="65"/>
      <c r="Q54" s="65">
        <v>313462.43</v>
      </c>
      <c r="R54" s="65"/>
      <c r="S54" s="65">
        <v>0</v>
      </c>
      <c r="T54" s="65"/>
      <c r="U54" s="65">
        <v>9039.2099999999991</v>
      </c>
      <c r="V54" s="65"/>
      <c r="W54" s="65">
        <v>337.02</v>
      </c>
      <c r="X54" s="65"/>
      <c r="Y54" s="65">
        <v>0</v>
      </c>
      <c r="Z54" s="65"/>
      <c r="AA54" s="65">
        <v>0</v>
      </c>
      <c r="AB54" s="65"/>
      <c r="AC54" s="65">
        <f t="shared" ref="AC54:AC56" si="15">SUM(O54:AA54)</f>
        <v>497749.11000000004</v>
      </c>
      <c r="AD54" s="65"/>
      <c r="AE54" s="65">
        <v>4820.83</v>
      </c>
      <c r="AF54" s="65"/>
      <c r="AG54" s="65">
        <v>1286571.3400000001</v>
      </c>
      <c r="AH54" s="65"/>
      <c r="AI54" s="65">
        <v>1291392.17</v>
      </c>
    </row>
    <row r="55" spans="1:35" s="4" customFormat="1" ht="12">
      <c r="A55" s="4" t="s">
        <v>508</v>
      </c>
      <c r="C55" s="4" t="s">
        <v>56</v>
      </c>
      <c r="E55" s="65">
        <v>1189859.1100000001</v>
      </c>
      <c r="F55" s="65"/>
      <c r="G55" s="65">
        <v>60164.13</v>
      </c>
      <c r="H55" s="65"/>
      <c r="I55" s="65">
        <v>39194.86</v>
      </c>
      <c r="J55" s="65"/>
      <c r="K55" s="65">
        <v>1300</v>
      </c>
      <c r="L55" s="65"/>
      <c r="M55" s="65">
        <v>-1089200.1200000001</v>
      </c>
      <c r="N55" s="65"/>
      <c r="O55" s="65">
        <v>1140661.3400000001</v>
      </c>
      <c r="P55" s="65"/>
      <c r="Q55" s="65">
        <v>7799.82</v>
      </c>
      <c r="R55" s="65"/>
      <c r="S55" s="65">
        <v>0</v>
      </c>
      <c r="T55" s="65"/>
      <c r="U55" s="65">
        <v>0</v>
      </c>
      <c r="V55" s="65"/>
      <c r="W55" s="65">
        <v>831.65</v>
      </c>
      <c r="X55" s="65"/>
      <c r="Y55" s="65">
        <v>0</v>
      </c>
      <c r="Z55" s="65"/>
      <c r="AA55" s="65">
        <v>0</v>
      </c>
      <c r="AB55" s="65"/>
      <c r="AC55" s="65">
        <f t="shared" si="15"/>
        <v>1149292.81</v>
      </c>
      <c r="AD55" s="65"/>
      <c r="AE55" s="65">
        <v>60092.69</v>
      </c>
      <c r="AF55" s="65"/>
      <c r="AG55" s="65">
        <v>3104796.26</v>
      </c>
      <c r="AH55" s="65"/>
      <c r="AI55" s="65">
        <v>3164888.95</v>
      </c>
    </row>
    <row r="56" spans="1:35" s="4" customFormat="1" ht="12">
      <c r="A56" s="4" t="s">
        <v>162</v>
      </c>
      <c r="B56" s="15"/>
      <c r="C56" s="4" t="s">
        <v>54</v>
      </c>
      <c r="D56" s="15"/>
      <c r="E56" s="73">
        <v>930734.68</v>
      </c>
      <c r="F56" s="73"/>
      <c r="G56" s="73">
        <v>23002.67</v>
      </c>
      <c r="H56" s="73"/>
      <c r="I56" s="73">
        <v>0</v>
      </c>
      <c r="J56" s="73"/>
      <c r="K56" s="73">
        <v>0</v>
      </c>
      <c r="L56" s="73"/>
      <c r="M56" s="73">
        <v>-907732.01</v>
      </c>
      <c r="N56" s="73"/>
      <c r="O56" s="73">
        <v>1059688.5</v>
      </c>
      <c r="P56" s="73"/>
      <c r="Q56" s="73">
        <v>14910.38</v>
      </c>
      <c r="R56" s="73"/>
      <c r="S56" s="73">
        <v>0</v>
      </c>
      <c r="T56" s="73"/>
      <c r="U56" s="73">
        <v>2564.11</v>
      </c>
      <c r="V56" s="73"/>
      <c r="W56" s="73">
        <v>1020.68</v>
      </c>
      <c r="X56" s="73"/>
      <c r="Y56" s="73">
        <v>0</v>
      </c>
      <c r="Z56" s="73"/>
      <c r="AA56" s="73">
        <v>0</v>
      </c>
      <c r="AB56" s="73"/>
      <c r="AC56" s="65">
        <f t="shared" si="15"/>
        <v>1078183.67</v>
      </c>
      <c r="AD56" s="73"/>
      <c r="AE56" s="73">
        <v>170451.66</v>
      </c>
      <c r="AF56" s="73"/>
      <c r="AG56" s="73">
        <v>543217.93999999994</v>
      </c>
      <c r="AH56" s="73"/>
      <c r="AI56" s="73">
        <v>713669.6</v>
      </c>
    </row>
    <row r="57" spans="1:35" s="4" customFormat="1" ht="12">
      <c r="A57" s="4" t="s">
        <v>164</v>
      </c>
      <c r="B57" s="15"/>
      <c r="C57" s="4" t="s">
        <v>165</v>
      </c>
      <c r="D57" s="15"/>
      <c r="E57" s="65">
        <v>600557.21</v>
      </c>
      <c r="F57" s="65"/>
      <c r="G57" s="65">
        <v>27622.1</v>
      </c>
      <c r="H57" s="65"/>
      <c r="I57" s="65">
        <v>0</v>
      </c>
      <c r="J57" s="65"/>
      <c r="K57" s="65">
        <v>0</v>
      </c>
      <c r="L57" s="65"/>
      <c r="M57" s="65">
        <v>-572935.11</v>
      </c>
      <c r="N57" s="65"/>
      <c r="O57" s="65">
        <v>344762.6</v>
      </c>
      <c r="P57" s="65"/>
      <c r="Q57" s="65">
        <v>326844.28999999998</v>
      </c>
      <c r="R57" s="65"/>
      <c r="S57" s="65">
        <v>0</v>
      </c>
      <c r="T57" s="65"/>
      <c r="U57" s="65">
        <v>215.99</v>
      </c>
      <c r="V57" s="65"/>
      <c r="W57" s="65">
        <v>5817.16</v>
      </c>
      <c r="X57" s="65"/>
      <c r="Y57" s="65">
        <v>0</v>
      </c>
      <c r="Z57" s="65"/>
      <c r="AA57" s="65">
        <v>0</v>
      </c>
      <c r="AB57" s="65"/>
      <c r="AC57" s="65">
        <f t="shared" ref="AC57:AC59" si="16">SUM(O57:AA57)</f>
        <v>677640.03999999992</v>
      </c>
      <c r="AD57" s="65"/>
      <c r="AE57" s="65">
        <v>104704.93</v>
      </c>
      <c r="AF57" s="65"/>
      <c r="AG57" s="65">
        <v>465196.61</v>
      </c>
      <c r="AH57" s="65"/>
      <c r="AI57" s="65">
        <v>569901.54</v>
      </c>
    </row>
    <row r="58" spans="1:35" s="4" customFormat="1" ht="12">
      <c r="A58" s="12" t="s">
        <v>35</v>
      </c>
      <c r="B58" s="15"/>
      <c r="C58" s="15" t="s">
        <v>10</v>
      </c>
      <c r="D58" s="15"/>
      <c r="E58" s="65">
        <v>511224.78</v>
      </c>
      <c r="F58" s="65"/>
      <c r="G58" s="65">
        <v>12073.89</v>
      </c>
      <c r="H58" s="65"/>
      <c r="I58" s="65">
        <v>5559</v>
      </c>
      <c r="J58" s="65"/>
      <c r="K58" s="65">
        <v>0</v>
      </c>
      <c r="L58" s="65"/>
      <c r="M58" s="65">
        <v>-493591.89</v>
      </c>
      <c r="N58" s="65"/>
      <c r="O58" s="65">
        <v>219456.54</v>
      </c>
      <c r="P58" s="65"/>
      <c r="Q58" s="65">
        <v>334399.24</v>
      </c>
      <c r="R58" s="65"/>
      <c r="S58" s="65">
        <v>0</v>
      </c>
      <c r="T58" s="65"/>
      <c r="U58" s="65">
        <v>434.24</v>
      </c>
      <c r="V58" s="65"/>
      <c r="W58" s="65">
        <v>2480.89</v>
      </c>
      <c r="X58" s="65"/>
      <c r="Y58" s="65">
        <v>0</v>
      </c>
      <c r="Z58" s="65"/>
      <c r="AA58" s="65">
        <v>0</v>
      </c>
      <c r="AB58" s="65"/>
      <c r="AC58" s="65">
        <f t="shared" si="16"/>
        <v>556770.91</v>
      </c>
      <c r="AD58" s="65"/>
      <c r="AE58" s="65">
        <v>63179.02</v>
      </c>
      <c r="AF58" s="65"/>
      <c r="AG58" s="65">
        <v>194027.62</v>
      </c>
      <c r="AH58" s="65"/>
      <c r="AI58" s="65">
        <v>257206.64</v>
      </c>
    </row>
    <row r="59" spans="1:35" s="4" customFormat="1" ht="12">
      <c r="A59" s="12" t="s">
        <v>558</v>
      </c>
      <c r="B59" s="15"/>
      <c r="C59" s="15" t="s">
        <v>57</v>
      </c>
      <c r="D59" s="15"/>
      <c r="E59" s="65">
        <v>601616.30000000005</v>
      </c>
      <c r="F59" s="65"/>
      <c r="G59" s="65">
        <v>17261.72</v>
      </c>
      <c r="H59" s="65"/>
      <c r="I59" s="65">
        <v>0</v>
      </c>
      <c r="J59" s="65"/>
      <c r="K59" s="65">
        <v>0</v>
      </c>
      <c r="L59" s="65"/>
      <c r="M59" s="65">
        <v>-584354.57999999996</v>
      </c>
      <c r="N59" s="65"/>
      <c r="O59" s="65">
        <v>273485.56</v>
      </c>
      <c r="P59" s="65"/>
      <c r="Q59" s="65">
        <v>440925.14</v>
      </c>
      <c r="R59" s="65"/>
      <c r="S59" s="65">
        <v>0</v>
      </c>
      <c r="T59" s="65"/>
      <c r="U59" s="65">
        <v>20550.16</v>
      </c>
      <c r="V59" s="65"/>
      <c r="W59" s="65">
        <v>10133.75</v>
      </c>
      <c r="X59" s="65"/>
      <c r="Y59" s="65">
        <v>0</v>
      </c>
      <c r="Z59" s="65"/>
      <c r="AA59" s="65">
        <v>0</v>
      </c>
      <c r="AB59" s="65"/>
      <c r="AC59" s="65">
        <f t="shared" si="16"/>
        <v>745094.61</v>
      </c>
      <c r="AD59" s="65"/>
      <c r="AE59" s="65">
        <v>160740.03</v>
      </c>
      <c r="AF59" s="65"/>
      <c r="AG59" s="65">
        <v>352126.97</v>
      </c>
      <c r="AH59" s="65"/>
      <c r="AI59" s="65">
        <v>512867</v>
      </c>
    </row>
    <row r="60" spans="1:35" s="4" customFormat="1" ht="12">
      <c r="A60" s="3" t="s">
        <v>431</v>
      </c>
      <c r="B60" s="15"/>
      <c r="C60" s="4" t="s">
        <v>17</v>
      </c>
      <c r="D60" s="15"/>
      <c r="E60" s="43">
        <v>3564958</v>
      </c>
      <c r="F60" s="43"/>
      <c r="G60" s="43">
        <v>142971</v>
      </c>
      <c r="H60" s="43"/>
      <c r="I60" s="43">
        <v>0</v>
      </c>
      <c r="J60" s="43"/>
      <c r="K60" s="43">
        <v>0</v>
      </c>
      <c r="L60" s="43"/>
      <c r="M60" s="43">
        <f t="shared" si="3"/>
        <v>-3421987</v>
      </c>
      <c r="N60" s="43"/>
      <c r="O60" s="43">
        <v>1929061</v>
      </c>
      <c r="P60" s="43"/>
      <c r="Q60" s="43">
        <v>2146017</v>
      </c>
      <c r="R60" s="43"/>
      <c r="S60" s="43">
        <v>176306</v>
      </c>
      <c r="T60" s="43"/>
      <c r="U60" s="43">
        <v>16121</v>
      </c>
      <c r="V60" s="43"/>
      <c r="W60" s="43">
        <v>0</v>
      </c>
      <c r="X60" s="43"/>
      <c r="Y60" s="43">
        <v>0</v>
      </c>
      <c r="Z60" s="43"/>
      <c r="AA60" s="43">
        <v>0</v>
      </c>
      <c r="AB60" s="43"/>
      <c r="AC60" s="43">
        <f t="shared" ref="AC60:AC66" si="17">SUM(O60:AA60)</f>
        <v>4267505</v>
      </c>
      <c r="AD60" s="43"/>
      <c r="AE60" s="43">
        <f t="shared" ref="AE60:AE66" si="18">AC60+M60</f>
        <v>845518</v>
      </c>
      <c r="AF60" s="43"/>
      <c r="AG60" s="43">
        <v>5394409</v>
      </c>
      <c r="AH60" s="43"/>
      <c r="AI60" s="43">
        <f t="shared" si="4"/>
        <v>6239927</v>
      </c>
    </row>
    <row r="61" spans="1:35" ht="12" customHeight="1">
      <c r="A61" s="3" t="s">
        <v>7</v>
      </c>
      <c r="B61" s="15"/>
      <c r="C61" s="4" t="s">
        <v>8</v>
      </c>
      <c r="D61" s="15"/>
      <c r="E61" s="43">
        <v>7555667</v>
      </c>
      <c r="F61" s="43"/>
      <c r="G61" s="43">
        <v>209074</v>
      </c>
      <c r="H61" s="43"/>
      <c r="I61" s="43">
        <v>885713</v>
      </c>
      <c r="J61" s="43"/>
      <c r="K61" s="43">
        <v>0</v>
      </c>
      <c r="L61" s="43"/>
      <c r="M61" s="43">
        <f t="shared" si="3"/>
        <v>-6460880</v>
      </c>
      <c r="N61" s="43"/>
      <c r="O61" s="43">
        <v>2617471</v>
      </c>
      <c r="P61" s="43"/>
      <c r="Q61" s="43">
        <v>4838713</v>
      </c>
      <c r="R61" s="43"/>
      <c r="S61" s="43">
        <v>8104</v>
      </c>
      <c r="T61" s="43"/>
      <c r="U61" s="43">
        <v>261150</v>
      </c>
      <c r="V61" s="43"/>
      <c r="W61" s="43">
        <f>540+13732+427</f>
        <v>14699</v>
      </c>
      <c r="X61" s="43"/>
      <c r="Y61" s="43">
        <v>2200000</v>
      </c>
      <c r="Z61" s="43"/>
      <c r="AA61" s="43">
        <v>0</v>
      </c>
      <c r="AB61" s="43"/>
      <c r="AC61" s="43">
        <f t="shared" si="17"/>
        <v>9940137</v>
      </c>
      <c r="AD61" s="43"/>
      <c r="AE61" s="43">
        <f t="shared" si="18"/>
        <v>3479257</v>
      </c>
      <c r="AF61" s="43"/>
      <c r="AG61" s="43">
        <v>11235919</v>
      </c>
      <c r="AH61" s="43"/>
      <c r="AI61" s="43">
        <f t="shared" si="4"/>
        <v>14715176</v>
      </c>
    </row>
    <row r="62" spans="1:35" s="4" customFormat="1" ht="12" hidden="1">
      <c r="A62" s="15" t="s">
        <v>368</v>
      </c>
      <c r="C62" s="15" t="s">
        <v>52</v>
      </c>
      <c r="E62" s="43"/>
      <c r="F62" s="43"/>
      <c r="G62" s="43"/>
      <c r="H62" s="43"/>
      <c r="I62" s="43"/>
      <c r="J62" s="43"/>
      <c r="K62" s="43"/>
      <c r="L62" s="43"/>
      <c r="M62" s="43">
        <f t="shared" si="3"/>
        <v>0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>
        <f t="shared" si="17"/>
        <v>0</v>
      </c>
      <c r="AD62" s="43"/>
      <c r="AE62" s="43">
        <f t="shared" si="18"/>
        <v>0</v>
      </c>
      <c r="AF62" s="43"/>
      <c r="AG62" s="43"/>
      <c r="AH62" s="43"/>
      <c r="AI62" s="43">
        <f t="shared" si="4"/>
        <v>0</v>
      </c>
    </row>
    <row r="63" spans="1:35" s="4" customFormat="1" ht="12" hidden="1">
      <c r="A63" s="4" t="s">
        <v>509</v>
      </c>
      <c r="C63" s="4" t="s">
        <v>49</v>
      </c>
      <c r="E63" s="65"/>
      <c r="F63" s="65"/>
      <c r="G63" s="65"/>
      <c r="H63" s="65"/>
      <c r="I63" s="65"/>
      <c r="J63" s="65"/>
      <c r="K63" s="65"/>
      <c r="L63" s="65"/>
      <c r="M63" s="43">
        <f t="shared" si="3"/>
        <v>0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43"/>
      <c r="AC63" s="43">
        <f t="shared" si="17"/>
        <v>0</v>
      </c>
      <c r="AD63" s="43"/>
      <c r="AE63" s="43">
        <f t="shared" si="18"/>
        <v>0</v>
      </c>
      <c r="AF63" s="43"/>
      <c r="AG63" s="43"/>
      <c r="AH63" s="43"/>
      <c r="AI63" s="43">
        <f t="shared" si="4"/>
        <v>0</v>
      </c>
    </row>
    <row r="64" spans="1:35" s="4" customFormat="1" ht="12" hidden="1">
      <c r="A64" s="12" t="s">
        <v>9</v>
      </c>
      <c r="B64" s="12"/>
      <c r="C64" s="12" t="s">
        <v>10</v>
      </c>
      <c r="D64" s="15"/>
      <c r="E64" s="43"/>
      <c r="F64" s="43"/>
      <c r="G64" s="43"/>
      <c r="H64" s="43"/>
      <c r="I64" s="43"/>
      <c r="J64" s="43"/>
      <c r="K64" s="43"/>
      <c r="L64" s="43"/>
      <c r="M64" s="43">
        <f t="shared" si="3"/>
        <v>0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>
        <f t="shared" si="17"/>
        <v>0</v>
      </c>
      <c r="AD64" s="43"/>
      <c r="AE64" s="43">
        <f t="shared" si="18"/>
        <v>0</v>
      </c>
      <c r="AF64" s="43"/>
      <c r="AG64" s="43"/>
      <c r="AH64" s="43"/>
      <c r="AI64" s="43">
        <f t="shared" si="4"/>
        <v>0</v>
      </c>
    </row>
    <row r="65" spans="1:35" ht="12" customHeight="1">
      <c r="A65" s="15" t="s">
        <v>180</v>
      </c>
      <c r="B65" s="15"/>
      <c r="C65" s="15" t="s">
        <v>55</v>
      </c>
      <c r="D65" s="15"/>
      <c r="E65" s="43">
        <v>10149382</v>
      </c>
      <c r="F65" s="43"/>
      <c r="G65" s="43">
        <v>0</v>
      </c>
      <c r="H65" s="43"/>
      <c r="I65" s="43">
        <v>35680</v>
      </c>
      <c r="J65" s="43"/>
      <c r="K65" s="43">
        <v>0</v>
      </c>
      <c r="L65" s="43"/>
      <c r="M65" s="43">
        <f t="shared" si="3"/>
        <v>-10113702</v>
      </c>
      <c r="N65" s="43"/>
      <c r="O65" s="43">
        <v>4184176</v>
      </c>
      <c r="P65" s="43"/>
      <c r="Q65" s="43">
        <v>4493267</v>
      </c>
      <c r="R65" s="43"/>
      <c r="S65" s="43">
        <v>8100</v>
      </c>
      <c r="T65" s="43"/>
      <c r="U65" s="43">
        <v>24687</v>
      </c>
      <c r="V65" s="43"/>
      <c r="W65" s="43">
        <f>146595+148658+7209</f>
        <v>302462</v>
      </c>
      <c r="X65" s="43"/>
      <c r="Y65" s="43">
        <v>-1710349</v>
      </c>
      <c r="Z65" s="43"/>
      <c r="AA65" s="43">
        <v>0</v>
      </c>
      <c r="AB65" s="43"/>
      <c r="AC65" s="43">
        <f t="shared" si="17"/>
        <v>7302343</v>
      </c>
      <c r="AD65" s="43"/>
      <c r="AE65" s="43">
        <f t="shared" si="18"/>
        <v>-2811359</v>
      </c>
      <c r="AF65" s="43"/>
      <c r="AG65" s="43">
        <v>7695205</v>
      </c>
      <c r="AH65" s="43"/>
      <c r="AI65" s="43">
        <f t="shared" si="4"/>
        <v>4883846</v>
      </c>
    </row>
    <row r="66" spans="1:35" ht="12" customHeight="1">
      <c r="A66" s="15" t="s">
        <v>181</v>
      </c>
      <c r="B66" s="15"/>
      <c r="C66" s="15" t="s">
        <v>81</v>
      </c>
      <c r="D66" s="15"/>
      <c r="E66" s="43">
        <v>593071</v>
      </c>
      <c r="F66" s="43"/>
      <c r="G66" s="43">
        <v>13845</v>
      </c>
      <c r="H66" s="43"/>
      <c r="I66" s="43">
        <v>35402</v>
      </c>
      <c r="J66" s="43"/>
      <c r="K66" s="43">
        <v>14610</v>
      </c>
      <c r="L66" s="43"/>
      <c r="M66" s="43">
        <f t="shared" si="3"/>
        <v>-529214</v>
      </c>
      <c r="N66" s="43"/>
      <c r="O66" s="43">
        <v>850</v>
      </c>
      <c r="P66" s="43"/>
      <c r="Q66" s="43">
        <v>558084</v>
      </c>
      <c r="R66" s="43"/>
      <c r="S66" s="43">
        <v>5925</v>
      </c>
      <c r="T66" s="43"/>
      <c r="U66" s="43">
        <v>992</v>
      </c>
      <c r="V66" s="43"/>
      <c r="W66" s="43">
        <v>478</v>
      </c>
      <c r="X66" s="43"/>
      <c r="Y66" s="43">
        <v>0</v>
      </c>
      <c r="Z66" s="43"/>
      <c r="AA66" s="43">
        <v>0</v>
      </c>
      <c r="AB66" s="43"/>
      <c r="AC66" s="43">
        <f t="shared" si="17"/>
        <v>566329</v>
      </c>
      <c r="AD66" s="43"/>
      <c r="AE66" s="43">
        <f t="shared" si="18"/>
        <v>37115</v>
      </c>
      <c r="AF66" s="43"/>
      <c r="AG66" s="43">
        <v>427515</v>
      </c>
      <c r="AH66" s="43"/>
      <c r="AI66" s="43">
        <f t="shared" si="4"/>
        <v>464630</v>
      </c>
    </row>
    <row r="67" spans="1:35" ht="12" customHeight="1">
      <c r="A67" s="4" t="s">
        <v>513</v>
      </c>
      <c r="B67" s="4"/>
      <c r="C67" s="4" t="s">
        <v>23</v>
      </c>
      <c r="D67" s="4"/>
      <c r="E67" s="65">
        <v>766212.43</v>
      </c>
      <c r="F67" s="65"/>
      <c r="G67" s="65">
        <v>32362.66</v>
      </c>
      <c r="H67" s="65"/>
      <c r="I67" s="65">
        <v>0</v>
      </c>
      <c r="J67" s="65"/>
      <c r="K67" s="65">
        <v>4714.6000000000004</v>
      </c>
      <c r="L67" s="65"/>
      <c r="M67" s="65">
        <v>-729135.17</v>
      </c>
      <c r="N67" s="65"/>
      <c r="O67" s="65">
        <v>330856.45</v>
      </c>
      <c r="P67" s="65"/>
      <c r="Q67" s="65">
        <v>509179.92</v>
      </c>
      <c r="R67" s="65"/>
      <c r="S67" s="65">
        <v>0</v>
      </c>
      <c r="T67" s="65"/>
      <c r="U67" s="65">
        <v>501.23</v>
      </c>
      <c r="V67" s="65"/>
      <c r="W67" s="65">
        <v>8777.61</v>
      </c>
      <c r="X67" s="65"/>
      <c r="Y67" s="65">
        <v>0</v>
      </c>
      <c r="Z67" s="65"/>
      <c r="AA67" s="65">
        <v>0</v>
      </c>
      <c r="AB67" s="65"/>
      <c r="AC67" s="65">
        <f t="shared" ref="AC67:AC68" si="19">SUM(O67:AA67)</f>
        <v>849315.21</v>
      </c>
      <c r="AD67" s="65"/>
      <c r="AE67" s="65">
        <v>120180.04</v>
      </c>
      <c r="AF67" s="65"/>
      <c r="AG67" s="65">
        <v>542017.13</v>
      </c>
      <c r="AH67" s="65"/>
      <c r="AI67" s="65">
        <v>662197.17000000004</v>
      </c>
    </row>
    <row r="68" spans="1:35" ht="12" customHeight="1">
      <c r="A68" s="4" t="s">
        <v>432</v>
      </c>
      <c r="B68" s="4"/>
      <c r="C68" s="4" t="s">
        <v>11</v>
      </c>
      <c r="D68" s="4"/>
      <c r="E68" s="65">
        <v>1213985.99</v>
      </c>
      <c r="F68" s="65"/>
      <c r="G68" s="65">
        <v>28547.69</v>
      </c>
      <c r="H68" s="65"/>
      <c r="I68" s="65">
        <v>0</v>
      </c>
      <c r="J68" s="65"/>
      <c r="K68" s="65">
        <v>0</v>
      </c>
      <c r="L68" s="65"/>
      <c r="M68" s="65">
        <v>-1185438.3</v>
      </c>
      <c r="N68" s="65"/>
      <c r="O68" s="65">
        <v>0</v>
      </c>
      <c r="P68" s="65"/>
      <c r="Q68" s="65">
        <v>957123.79</v>
      </c>
      <c r="R68" s="65"/>
      <c r="S68" s="65">
        <v>0</v>
      </c>
      <c r="T68" s="65"/>
      <c r="U68" s="65">
        <v>3539.42</v>
      </c>
      <c r="V68" s="65"/>
      <c r="W68" s="65">
        <v>11177.9</v>
      </c>
      <c r="X68" s="65"/>
      <c r="Y68" s="65">
        <v>-30.8</v>
      </c>
      <c r="Z68" s="65"/>
      <c r="AA68" s="65">
        <v>13609.25</v>
      </c>
      <c r="AB68" s="65"/>
      <c r="AC68" s="65">
        <f t="shared" si="19"/>
        <v>985419.56</v>
      </c>
      <c r="AD68" s="65"/>
      <c r="AE68" s="65">
        <v>-200018.74</v>
      </c>
      <c r="AF68" s="65"/>
      <c r="AG68" s="65">
        <v>546953.48</v>
      </c>
      <c r="AH68" s="65"/>
      <c r="AI68" s="65">
        <v>346934.74</v>
      </c>
    </row>
    <row r="69" spans="1:35" ht="12" hidden="1" customHeight="1">
      <c r="A69" s="15" t="s">
        <v>382</v>
      </c>
      <c r="B69" s="15"/>
      <c r="C69" s="15" t="s">
        <v>183</v>
      </c>
      <c r="D69" s="15"/>
      <c r="E69" s="65"/>
      <c r="F69" s="65"/>
      <c r="G69" s="65"/>
      <c r="H69" s="65"/>
      <c r="I69" s="65"/>
      <c r="J69" s="65"/>
      <c r="K69" s="65"/>
      <c r="L69" s="65"/>
      <c r="M69" s="43">
        <f t="shared" si="3"/>
        <v>0</v>
      </c>
      <c r="N69" s="65"/>
      <c r="O69" s="65"/>
      <c r="P69" s="65"/>
      <c r="Q69" s="65"/>
      <c r="R69" s="65"/>
      <c r="S69" s="65">
        <v>0</v>
      </c>
      <c r="T69" s="65"/>
      <c r="U69" s="65"/>
      <c r="V69" s="65"/>
      <c r="W69" s="65"/>
      <c r="X69" s="65"/>
      <c r="Y69" s="65"/>
      <c r="Z69" s="65"/>
      <c r="AA69" s="65"/>
      <c r="AB69" s="43"/>
      <c r="AC69" s="43">
        <f>SUM(O69:AA69)</f>
        <v>0</v>
      </c>
      <c r="AD69" s="43"/>
      <c r="AE69" s="43">
        <f>AC69+M69</f>
        <v>0</v>
      </c>
      <c r="AF69" s="43"/>
      <c r="AG69" s="43"/>
      <c r="AH69" s="43"/>
      <c r="AI69" s="43">
        <f t="shared" si="4"/>
        <v>0</v>
      </c>
    </row>
    <row r="70" spans="1:35" ht="12" customHeight="1">
      <c r="A70" s="4" t="s">
        <v>372</v>
      </c>
      <c r="B70" s="4"/>
      <c r="C70" s="4" t="s">
        <v>52</v>
      </c>
      <c r="D70" s="4"/>
      <c r="E70" s="65">
        <v>830008.22</v>
      </c>
      <c r="F70" s="65"/>
      <c r="G70" s="65">
        <v>19439.41</v>
      </c>
      <c r="H70" s="65"/>
      <c r="I70" s="65">
        <v>0</v>
      </c>
      <c r="J70" s="65"/>
      <c r="K70" s="65">
        <v>0</v>
      </c>
      <c r="L70" s="65"/>
      <c r="M70" s="65">
        <v>-810568.81</v>
      </c>
      <c r="N70" s="65"/>
      <c r="O70" s="65">
        <v>558106.30000000005</v>
      </c>
      <c r="P70" s="65"/>
      <c r="Q70" s="65">
        <v>634906.11</v>
      </c>
      <c r="R70" s="65"/>
      <c r="S70" s="65">
        <v>0</v>
      </c>
      <c r="T70" s="65"/>
      <c r="U70" s="65">
        <v>10478.030000000001</v>
      </c>
      <c r="V70" s="65"/>
      <c r="W70" s="65">
        <v>1899.44</v>
      </c>
      <c r="X70" s="65"/>
      <c r="Y70" s="65">
        <v>0</v>
      </c>
      <c r="Z70" s="65"/>
      <c r="AA70" s="65">
        <v>200</v>
      </c>
      <c r="AB70" s="65"/>
      <c r="AC70" s="65">
        <f t="shared" ref="AC70:AC71" si="20">SUM(O70:AA70)</f>
        <v>1205589.8800000001</v>
      </c>
      <c r="AD70" s="65"/>
      <c r="AE70" s="65">
        <v>395021.07</v>
      </c>
      <c r="AF70" s="65"/>
      <c r="AG70" s="65">
        <v>947639.76</v>
      </c>
      <c r="AH70" s="65"/>
      <c r="AI70" s="65">
        <v>1342660.83</v>
      </c>
    </row>
    <row r="71" spans="1:35" ht="12" customHeight="1">
      <c r="A71" s="4" t="s">
        <v>374</v>
      </c>
      <c r="B71" s="4"/>
      <c r="C71" s="4" t="s">
        <v>52</v>
      </c>
      <c r="D71" s="4"/>
      <c r="E71" s="65">
        <v>1372394.5</v>
      </c>
      <c r="F71" s="65"/>
      <c r="G71" s="65">
        <v>59064.24</v>
      </c>
      <c r="H71" s="65"/>
      <c r="I71" s="65">
        <v>161178.6</v>
      </c>
      <c r="J71" s="65"/>
      <c r="K71" s="65">
        <v>0</v>
      </c>
      <c r="L71" s="65"/>
      <c r="M71" s="65">
        <v>-1152151.6599999999</v>
      </c>
      <c r="N71" s="65"/>
      <c r="O71" s="65">
        <v>1336756.25</v>
      </c>
      <c r="P71" s="65"/>
      <c r="Q71" s="65">
        <v>1139615.2699999998</v>
      </c>
      <c r="R71" s="65"/>
      <c r="S71" s="65">
        <v>0</v>
      </c>
      <c r="T71" s="65"/>
      <c r="U71" s="65">
        <v>5987.33</v>
      </c>
      <c r="V71" s="65"/>
      <c r="W71" s="65">
        <v>2628.81</v>
      </c>
      <c r="X71" s="65"/>
      <c r="Y71" s="65">
        <v>0</v>
      </c>
      <c r="Z71" s="65"/>
      <c r="AA71" s="65">
        <v>0</v>
      </c>
      <c r="AB71" s="65"/>
      <c r="AC71" s="65">
        <f t="shared" si="20"/>
        <v>2484987.6599999997</v>
      </c>
      <c r="AD71" s="65"/>
      <c r="AE71" s="65">
        <v>1332836</v>
      </c>
      <c r="AF71" s="65"/>
      <c r="AG71" s="65">
        <v>1670842.01</v>
      </c>
      <c r="AH71" s="65"/>
      <c r="AI71" s="65">
        <v>3003678.01</v>
      </c>
    </row>
    <row r="72" spans="1:35" ht="12" customHeight="1">
      <c r="A72" s="4" t="s">
        <v>193</v>
      </c>
      <c r="B72" s="4"/>
      <c r="C72" s="4" t="s">
        <v>23</v>
      </c>
      <c r="D72" s="4"/>
      <c r="E72" s="43">
        <v>2438696</v>
      </c>
      <c r="F72" s="43"/>
      <c r="G72" s="43">
        <v>45117</v>
      </c>
      <c r="H72" s="43"/>
      <c r="I72" s="43">
        <v>12561</v>
      </c>
      <c r="J72" s="43"/>
      <c r="K72" s="43">
        <v>15000</v>
      </c>
      <c r="L72" s="43"/>
      <c r="M72" s="43">
        <f t="shared" si="3"/>
        <v>-2366018</v>
      </c>
      <c r="N72" s="43"/>
      <c r="O72" s="43">
        <v>865974</v>
      </c>
      <c r="P72" s="43"/>
      <c r="Q72" s="43">
        <v>1287400</v>
      </c>
      <c r="R72" s="43"/>
      <c r="S72" s="65">
        <v>0</v>
      </c>
      <c r="T72" s="43"/>
      <c r="U72" s="43">
        <v>929</v>
      </c>
      <c r="V72" s="43"/>
      <c r="W72" s="43">
        <v>18278</v>
      </c>
      <c r="X72" s="43"/>
      <c r="Y72" s="65">
        <v>0</v>
      </c>
      <c r="Z72" s="43"/>
      <c r="AA72" s="65">
        <v>0</v>
      </c>
      <c r="AB72" s="43"/>
      <c r="AC72" s="43">
        <f t="shared" ref="AC72:AC79" si="21">SUM(O72:AA72)</f>
        <v>2172581</v>
      </c>
      <c r="AD72" s="43"/>
      <c r="AE72" s="43">
        <f>AC72+M72</f>
        <v>-193437</v>
      </c>
      <c r="AF72" s="43"/>
      <c r="AG72" s="43">
        <v>1520230</v>
      </c>
      <c r="AH72" s="43"/>
      <c r="AI72" s="43">
        <f t="shared" si="4"/>
        <v>1326793</v>
      </c>
    </row>
    <row r="73" spans="1:35" ht="12" customHeight="1">
      <c r="A73" s="4" t="s">
        <v>591</v>
      </c>
      <c r="B73" s="4"/>
      <c r="C73" s="4" t="s">
        <v>18</v>
      </c>
      <c r="D73" s="4"/>
      <c r="E73" s="43">
        <v>38606180</v>
      </c>
      <c r="F73" s="43"/>
      <c r="G73" s="43">
        <v>290635</v>
      </c>
      <c r="H73" s="43"/>
      <c r="I73" s="43">
        <v>0</v>
      </c>
      <c r="J73" s="43"/>
      <c r="K73" s="43">
        <v>0</v>
      </c>
      <c r="L73" s="43"/>
      <c r="M73" s="43">
        <f t="shared" si="3"/>
        <v>-38315545</v>
      </c>
      <c r="N73" s="43"/>
      <c r="O73" s="43">
        <f>4309407+3075101</f>
        <v>7384508</v>
      </c>
      <c r="P73" s="43"/>
      <c r="Q73" s="43">
        <v>582833</v>
      </c>
      <c r="R73" s="43"/>
      <c r="S73" s="43">
        <v>27020</v>
      </c>
      <c r="T73" s="43"/>
      <c r="U73" s="43">
        <v>29838</v>
      </c>
      <c r="V73" s="43"/>
      <c r="W73" s="43">
        <f>3222084+2683612+56903+25019993</f>
        <v>30982592</v>
      </c>
      <c r="X73" s="43"/>
      <c r="Y73" s="65">
        <v>0</v>
      </c>
      <c r="Z73" s="43"/>
      <c r="AA73" s="65">
        <v>0</v>
      </c>
      <c r="AB73" s="43"/>
      <c r="AC73" s="43">
        <f t="shared" si="21"/>
        <v>39006791</v>
      </c>
      <c r="AD73" s="43"/>
      <c r="AE73" s="43">
        <f>AC73+M73</f>
        <v>691246</v>
      </c>
      <c r="AF73" s="43"/>
      <c r="AG73" s="43">
        <v>11567677</v>
      </c>
      <c r="AH73" s="43"/>
      <c r="AI73" s="43">
        <f t="shared" si="4"/>
        <v>12258923</v>
      </c>
    </row>
    <row r="74" spans="1:35" ht="12" hidden="1" customHeight="1">
      <c r="A74" s="12" t="s">
        <v>12</v>
      </c>
      <c r="B74" s="12"/>
      <c r="C74" s="12" t="s">
        <v>13</v>
      </c>
      <c r="D74" s="15"/>
      <c r="E74" s="43"/>
      <c r="F74" s="43"/>
      <c r="G74" s="43"/>
      <c r="H74" s="43"/>
      <c r="I74" s="43"/>
      <c r="J74" s="43"/>
      <c r="K74" s="43"/>
      <c r="L74" s="43"/>
      <c r="M74" s="43">
        <f t="shared" si="3"/>
        <v>0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65">
        <v>0</v>
      </c>
      <c r="AB74" s="43"/>
      <c r="AC74" s="43">
        <f t="shared" si="21"/>
        <v>0</v>
      </c>
      <c r="AD74" s="43"/>
      <c r="AE74" s="43">
        <f>AC74+M74</f>
        <v>0</v>
      </c>
      <c r="AF74" s="43"/>
      <c r="AG74" s="43"/>
      <c r="AH74" s="43"/>
      <c r="AI74" s="43">
        <f t="shared" si="4"/>
        <v>0</v>
      </c>
    </row>
    <row r="75" spans="1:35" ht="12" customHeight="1">
      <c r="A75" s="12" t="s">
        <v>195</v>
      </c>
      <c r="B75" s="12"/>
      <c r="C75" s="12" t="s">
        <v>8</v>
      </c>
      <c r="D75" s="15"/>
      <c r="E75" s="43">
        <v>5619615</v>
      </c>
      <c r="F75" s="43"/>
      <c r="G75" s="43">
        <v>252122</v>
      </c>
      <c r="H75" s="43"/>
      <c r="I75" s="43">
        <v>0</v>
      </c>
      <c r="J75" s="43"/>
      <c r="K75" s="43">
        <v>0</v>
      </c>
      <c r="L75" s="43"/>
      <c r="M75" s="43">
        <f t="shared" si="3"/>
        <v>-5367493</v>
      </c>
      <c r="N75" s="43"/>
      <c r="O75" s="43">
        <v>3108970</v>
      </c>
      <c r="P75" s="43"/>
      <c r="Q75" s="43">
        <v>17678</v>
      </c>
      <c r="R75" s="43"/>
      <c r="S75" s="43">
        <v>24453</v>
      </c>
      <c r="T75" s="43"/>
      <c r="U75" s="43">
        <v>8867</v>
      </c>
      <c r="V75" s="43"/>
      <c r="W75" s="43">
        <f>4549772+43704</f>
        <v>4593476</v>
      </c>
      <c r="X75" s="43"/>
      <c r="Y75" s="43">
        <v>250000</v>
      </c>
      <c r="Z75" s="43"/>
      <c r="AA75" s="65">
        <v>0</v>
      </c>
      <c r="AB75" s="43"/>
      <c r="AC75" s="43">
        <f t="shared" si="21"/>
        <v>8003444</v>
      </c>
      <c r="AD75" s="43"/>
      <c r="AE75" s="43">
        <f>AC75+M75</f>
        <v>2635951</v>
      </c>
      <c r="AF75" s="43"/>
      <c r="AG75" s="43">
        <v>4568782</v>
      </c>
      <c r="AH75" s="43"/>
      <c r="AI75" s="43">
        <f t="shared" si="4"/>
        <v>7204733</v>
      </c>
    </row>
    <row r="76" spans="1:35" ht="12" customHeight="1">
      <c r="A76" s="4" t="s">
        <v>376</v>
      </c>
      <c r="B76" s="4"/>
      <c r="C76" s="4" t="s">
        <v>23</v>
      </c>
      <c r="D76" s="4"/>
      <c r="E76" s="73">
        <v>652896.13</v>
      </c>
      <c r="F76" s="73"/>
      <c r="G76" s="73">
        <v>20057.580000000002</v>
      </c>
      <c r="H76" s="73"/>
      <c r="I76" s="73">
        <v>1265</v>
      </c>
      <c r="J76" s="73"/>
      <c r="K76" s="73">
        <v>0</v>
      </c>
      <c r="L76" s="73"/>
      <c r="M76" s="73">
        <v>-631573.55000000005</v>
      </c>
      <c r="N76" s="73"/>
      <c r="O76" s="73">
        <v>6.25</v>
      </c>
      <c r="P76" s="73"/>
      <c r="Q76" s="73">
        <v>685554.4</v>
      </c>
      <c r="R76" s="73"/>
      <c r="S76" s="73">
        <v>0</v>
      </c>
      <c r="T76" s="73"/>
      <c r="U76" s="73">
        <v>270.45999999999998</v>
      </c>
      <c r="V76" s="73"/>
      <c r="W76" s="73">
        <v>2708.95</v>
      </c>
      <c r="X76" s="73"/>
      <c r="Y76" s="73">
        <v>0</v>
      </c>
      <c r="Z76" s="73"/>
      <c r="AA76" s="73">
        <v>0</v>
      </c>
      <c r="AB76" s="73"/>
      <c r="AC76" s="43">
        <f t="shared" si="21"/>
        <v>688540.05999999994</v>
      </c>
      <c r="AD76" s="73"/>
      <c r="AE76" s="73">
        <v>56966.51</v>
      </c>
      <c r="AF76" s="73"/>
      <c r="AG76" s="73">
        <v>279248.40999999997</v>
      </c>
      <c r="AH76" s="73"/>
      <c r="AI76" s="73">
        <v>336214.92</v>
      </c>
    </row>
    <row r="77" spans="1:35" ht="12" hidden="1" customHeight="1">
      <c r="A77" s="4" t="s">
        <v>511</v>
      </c>
      <c r="B77" s="4"/>
      <c r="C77" s="4" t="s">
        <v>62</v>
      </c>
      <c r="D77" s="4"/>
      <c r="E77" s="43"/>
      <c r="F77" s="43"/>
      <c r="G77" s="43"/>
      <c r="H77" s="43"/>
      <c r="I77" s="43"/>
      <c r="J77" s="43"/>
      <c r="K77" s="43"/>
      <c r="L77" s="43"/>
      <c r="M77" s="43">
        <f t="shared" si="3"/>
        <v>0</v>
      </c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65">
        <v>0</v>
      </c>
      <c r="AB77" s="43"/>
      <c r="AC77" s="43">
        <f t="shared" si="21"/>
        <v>0</v>
      </c>
      <c r="AD77" s="43"/>
      <c r="AE77" s="43">
        <f>AC77+M77</f>
        <v>0</v>
      </c>
      <c r="AF77" s="43"/>
      <c r="AG77" s="43"/>
      <c r="AH77" s="43"/>
      <c r="AI77" s="43">
        <f t="shared" si="4"/>
        <v>0</v>
      </c>
    </row>
    <row r="78" spans="1:35" ht="12" hidden="1" customHeight="1">
      <c r="A78" s="12" t="s">
        <v>425</v>
      </c>
      <c r="B78" s="12"/>
      <c r="C78" s="12" t="s">
        <v>14</v>
      </c>
      <c r="D78" s="15"/>
      <c r="E78" s="43"/>
      <c r="F78" s="43"/>
      <c r="G78" s="43"/>
      <c r="H78" s="43"/>
      <c r="I78" s="43"/>
      <c r="J78" s="43"/>
      <c r="K78" s="43"/>
      <c r="L78" s="43"/>
      <c r="M78" s="43">
        <f t="shared" si="3"/>
        <v>0</v>
      </c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65">
        <v>0</v>
      </c>
      <c r="AB78" s="43"/>
      <c r="AC78" s="43">
        <f t="shared" si="21"/>
        <v>0</v>
      </c>
      <c r="AD78" s="43"/>
      <c r="AE78" s="43">
        <f>AC78+M78</f>
        <v>0</v>
      </c>
      <c r="AF78" s="43"/>
      <c r="AG78" s="43"/>
      <c r="AH78" s="43"/>
      <c r="AI78" s="43">
        <f t="shared" si="4"/>
        <v>0</v>
      </c>
    </row>
    <row r="79" spans="1:35" ht="12" customHeight="1">
      <c r="A79" s="15" t="s">
        <v>206</v>
      </c>
      <c r="B79" s="15"/>
      <c r="C79" s="15" t="s">
        <v>207</v>
      </c>
      <c r="D79" s="15"/>
      <c r="E79" s="43">
        <v>3586730</v>
      </c>
      <c r="F79" s="43"/>
      <c r="G79" s="43">
        <v>84599</v>
      </c>
      <c r="H79" s="43"/>
      <c r="I79" s="43">
        <v>18036</v>
      </c>
      <c r="J79" s="43"/>
      <c r="K79" s="43">
        <v>15600</v>
      </c>
      <c r="L79" s="43"/>
      <c r="M79" s="43">
        <f t="shared" si="3"/>
        <v>-3468495</v>
      </c>
      <c r="N79" s="43"/>
      <c r="O79" s="43">
        <v>1576607</v>
      </c>
      <c r="P79" s="43"/>
      <c r="Q79" s="43">
        <v>2516327</v>
      </c>
      <c r="R79" s="43"/>
      <c r="S79" s="43">
        <v>0</v>
      </c>
      <c r="T79" s="43"/>
      <c r="U79" s="43">
        <v>74988</v>
      </c>
      <c r="V79" s="43"/>
      <c r="W79" s="43">
        <f>11915+39165</f>
        <v>51080</v>
      </c>
      <c r="X79" s="43"/>
      <c r="Y79" s="43">
        <v>0</v>
      </c>
      <c r="Z79" s="43"/>
      <c r="AA79" s="43">
        <v>0</v>
      </c>
      <c r="AB79" s="43"/>
      <c r="AC79" s="43">
        <f t="shared" si="21"/>
        <v>4219002</v>
      </c>
      <c r="AD79" s="43"/>
      <c r="AE79" s="43">
        <f>AC79+M79</f>
        <v>750507</v>
      </c>
      <c r="AF79" s="43"/>
      <c r="AG79" s="43">
        <v>4501349</v>
      </c>
      <c r="AH79" s="43"/>
      <c r="AI79" s="43">
        <f t="shared" si="4"/>
        <v>5251856</v>
      </c>
    </row>
    <row r="80" spans="1:35" ht="12" hidden="1" customHeight="1">
      <c r="A80" s="4" t="s">
        <v>624</v>
      </c>
      <c r="B80" s="4"/>
      <c r="C80" s="4" t="s">
        <v>208</v>
      </c>
      <c r="D80" s="4"/>
      <c r="E80" s="65"/>
      <c r="F80" s="65"/>
      <c r="G80" s="65"/>
      <c r="H80" s="65"/>
      <c r="I80" s="65"/>
      <c r="J80" s="65"/>
      <c r="K80" s="65"/>
      <c r="L80" s="65"/>
      <c r="M80" s="43">
        <f t="shared" si="3"/>
        <v>0</v>
      </c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43"/>
      <c r="AC80" s="43">
        <f t="shared" ref="AC80" si="22">SUM(O80:AA80)</f>
        <v>0</v>
      </c>
      <c r="AD80" s="43"/>
      <c r="AE80" s="43">
        <f>AC80+M80</f>
        <v>0</v>
      </c>
      <c r="AF80" s="43"/>
      <c r="AG80" s="43"/>
      <c r="AH80" s="43"/>
      <c r="AI80" s="43">
        <f t="shared" si="4"/>
        <v>0</v>
      </c>
    </row>
    <row r="81" spans="1:35" ht="12" customHeight="1">
      <c r="A81" s="4" t="s">
        <v>378</v>
      </c>
      <c r="B81" s="4"/>
      <c r="C81" s="4" t="s">
        <v>63</v>
      </c>
      <c r="D81" s="4"/>
      <c r="E81" s="65">
        <v>366389.38</v>
      </c>
      <c r="F81" s="65"/>
      <c r="G81" s="65">
        <v>11024.81</v>
      </c>
      <c r="H81" s="65"/>
      <c r="I81" s="65">
        <v>0</v>
      </c>
      <c r="J81" s="65"/>
      <c r="K81" s="65">
        <v>0</v>
      </c>
      <c r="L81" s="65"/>
      <c r="M81" s="65">
        <v>-355364.57</v>
      </c>
      <c r="N81" s="65"/>
      <c r="O81" s="65">
        <v>124758.03</v>
      </c>
      <c r="P81" s="65"/>
      <c r="Q81" s="65">
        <v>329658.85000000003</v>
      </c>
      <c r="R81" s="65"/>
      <c r="S81" s="65">
        <v>0</v>
      </c>
      <c r="T81" s="65"/>
      <c r="U81" s="65">
        <v>894.74</v>
      </c>
      <c r="V81" s="65"/>
      <c r="W81" s="65">
        <f>424.1+180</f>
        <v>604.1</v>
      </c>
      <c r="X81" s="65"/>
      <c r="Y81" s="65">
        <v>0</v>
      </c>
      <c r="Z81" s="65"/>
      <c r="AA81" s="65">
        <v>1300</v>
      </c>
      <c r="AB81" s="65"/>
      <c r="AC81" s="65">
        <f>SUM(O81:AA81)</f>
        <v>457215.72</v>
      </c>
      <c r="AD81" s="65"/>
      <c r="AE81" s="65">
        <v>101851.15</v>
      </c>
      <c r="AF81" s="65"/>
      <c r="AG81" s="65">
        <v>255117.01</v>
      </c>
      <c r="AH81" s="65"/>
      <c r="AI81" s="65">
        <v>356968.16</v>
      </c>
    </row>
    <row r="82" spans="1:35" ht="12" customHeight="1">
      <c r="A82" s="12" t="s">
        <v>216</v>
      </c>
      <c r="B82" s="15"/>
      <c r="C82" s="15" t="s">
        <v>23</v>
      </c>
      <c r="D82" s="15"/>
      <c r="E82" s="43">
        <v>1620907</v>
      </c>
      <c r="F82" s="43"/>
      <c r="G82" s="43">
        <v>82738</v>
      </c>
      <c r="H82" s="43"/>
      <c r="I82" s="43">
        <v>14208</v>
      </c>
      <c r="J82" s="43"/>
      <c r="K82" s="43">
        <v>51907</v>
      </c>
      <c r="L82" s="43"/>
      <c r="M82" s="43">
        <f>-E82+G82+I82+K82</f>
        <v>-1472054</v>
      </c>
      <c r="N82" s="43"/>
      <c r="O82" s="43">
        <v>737338</v>
      </c>
      <c r="P82" s="43"/>
      <c r="Q82" s="43">
        <v>1350529</v>
      </c>
      <c r="R82" s="43"/>
      <c r="S82" s="43">
        <v>208</v>
      </c>
      <c r="T82" s="43"/>
      <c r="U82" s="43">
        <v>659</v>
      </c>
      <c r="V82" s="43"/>
      <c r="W82" s="43">
        <v>606</v>
      </c>
      <c r="X82" s="43"/>
      <c r="Y82" s="43">
        <v>0</v>
      </c>
      <c r="Z82" s="43"/>
      <c r="AA82" s="43">
        <v>0</v>
      </c>
      <c r="AB82" s="43"/>
      <c r="AC82" s="43">
        <f t="shared" ref="AC82:AC99" si="23">SUM(O82:AA82)</f>
        <v>2089340</v>
      </c>
      <c r="AD82" s="43"/>
      <c r="AE82" s="43">
        <f>AC82+M82</f>
        <v>617286</v>
      </c>
      <c r="AF82" s="43"/>
      <c r="AG82" s="43">
        <v>625858</v>
      </c>
      <c r="AH82" s="43"/>
      <c r="AI82" s="43">
        <f>AE82+AG82</f>
        <v>1243144</v>
      </c>
    </row>
    <row r="83" spans="1:35" ht="12" customHeight="1">
      <c r="A83" s="12" t="s">
        <v>222</v>
      </c>
      <c r="B83" s="15"/>
      <c r="C83" s="15" t="s">
        <v>223</v>
      </c>
      <c r="D83" s="15"/>
      <c r="E83" s="43">
        <v>860279</v>
      </c>
      <c r="F83" s="43"/>
      <c r="G83" s="43">
        <v>-700</v>
      </c>
      <c r="H83" s="43"/>
      <c r="I83" s="43">
        <v>0</v>
      </c>
      <c r="J83" s="43"/>
      <c r="K83" s="43">
        <v>-1422</v>
      </c>
      <c r="L83" s="43"/>
      <c r="M83" s="43">
        <f>-E83+G83+I83+K83</f>
        <v>-862401</v>
      </c>
      <c r="N83" s="43"/>
      <c r="O83" s="43">
        <v>322868</v>
      </c>
      <c r="P83" s="43"/>
      <c r="Q83" s="43">
        <v>41019</v>
      </c>
      <c r="R83" s="43"/>
      <c r="S83" s="43">
        <v>319</v>
      </c>
      <c r="T83" s="43"/>
      <c r="U83" s="43">
        <v>4670</v>
      </c>
      <c r="V83" s="43"/>
      <c r="W83" s="43">
        <f>538615+180+21517+36702</f>
        <v>597014</v>
      </c>
      <c r="X83" s="43"/>
      <c r="Y83" s="43">
        <f>313+114</f>
        <v>427</v>
      </c>
      <c r="Z83" s="43"/>
      <c r="AA83" s="43">
        <v>0</v>
      </c>
      <c r="AB83" s="43"/>
      <c r="AC83" s="43">
        <f t="shared" si="23"/>
        <v>966317</v>
      </c>
      <c r="AD83" s="43"/>
      <c r="AE83" s="43">
        <f>AC83+M83</f>
        <v>103916</v>
      </c>
      <c r="AF83" s="43"/>
      <c r="AG83" s="43">
        <v>659549</v>
      </c>
      <c r="AH83" s="43"/>
      <c r="AI83" s="43">
        <f>AE83+AG83</f>
        <v>763465</v>
      </c>
    </row>
    <row r="84" spans="1:35" ht="12" customHeight="1">
      <c r="A84" s="12" t="s">
        <v>225</v>
      </c>
      <c r="B84" s="15"/>
      <c r="C84" s="15" t="s">
        <v>58</v>
      </c>
      <c r="D84" s="15"/>
      <c r="E84" s="73">
        <v>204889.64</v>
      </c>
      <c r="F84" s="73"/>
      <c r="G84" s="73">
        <v>3052.24</v>
      </c>
      <c r="H84" s="73"/>
      <c r="I84" s="73">
        <v>0</v>
      </c>
      <c r="J84" s="73"/>
      <c r="K84" s="73">
        <v>0</v>
      </c>
      <c r="L84" s="73"/>
      <c r="M84" s="73">
        <v>-201837.4</v>
      </c>
      <c r="N84" s="73"/>
      <c r="O84" s="73">
        <v>26547.51</v>
      </c>
      <c r="P84" s="73"/>
      <c r="Q84" s="73">
        <v>192283.37</v>
      </c>
      <c r="R84" s="73"/>
      <c r="S84" s="73">
        <v>0</v>
      </c>
      <c r="T84" s="73"/>
      <c r="U84" s="73">
        <v>3038.28</v>
      </c>
      <c r="V84" s="73"/>
      <c r="W84" s="73">
        <v>2348.94</v>
      </c>
      <c r="X84" s="73"/>
      <c r="Y84" s="73">
        <v>0</v>
      </c>
      <c r="Z84" s="73"/>
      <c r="AA84" s="73">
        <v>0</v>
      </c>
      <c r="AB84" s="73"/>
      <c r="AC84" s="43">
        <f t="shared" si="23"/>
        <v>224218.1</v>
      </c>
      <c r="AD84" s="73"/>
      <c r="AE84" s="73">
        <v>22380.7</v>
      </c>
      <c r="AF84" s="73"/>
      <c r="AG84" s="73">
        <v>471683.78</v>
      </c>
      <c r="AH84" s="73"/>
      <c r="AI84" s="73">
        <v>494064.48</v>
      </c>
    </row>
    <row r="85" spans="1:35" ht="12" customHeight="1">
      <c r="A85" s="12" t="s">
        <v>229</v>
      </c>
      <c r="B85" s="15"/>
      <c r="C85" s="15" t="s">
        <v>63</v>
      </c>
      <c r="D85" s="15"/>
      <c r="E85" s="65">
        <v>324324.38</v>
      </c>
      <c r="F85" s="65"/>
      <c r="G85" s="65">
        <v>9551.7000000000007</v>
      </c>
      <c r="H85" s="65"/>
      <c r="I85" s="65">
        <v>0</v>
      </c>
      <c r="J85" s="65"/>
      <c r="K85" s="65">
        <v>0</v>
      </c>
      <c r="L85" s="65"/>
      <c r="M85" s="65">
        <v>-314772.68</v>
      </c>
      <c r="N85" s="65"/>
      <c r="O85" s="65">
        <v>0</v>
      </c>
      <c r="P85" s="65"/>
      <c r="Q85" s="65">
        <v>312443.51</v>
      </c>
      <c r="R85" s="65"/>
      <c r="S85" s="65">
        <v>0</v>
      </c>
      <c r="T85" s="65"/>
      <c r="U85" s="65">
        <v>14637.85</v>
      </c>
      <c r="V85" s="65"/>
      <c r="W85" s="65">
        <v>2832.75</v>
      </c>
      <c r="X85" s="65"/>
      <c r="Y85" s="65">
        <v>0</v>
      </c>
      <c r="Z85" s="65"/>
      <c r="AA85" s="65">
        <v>0</v>
      </c>
      <c r="AB85" s="65"/>
      <c r="AC85" s="43">
        <f t="shared" si="23"/>
        <v>329914.11</v>
      </c>
      <c r="AD85" s="65"/>
      <c r="AE85" s="65">
        <v>15141.43</v>
      </c>
      <c r="AF85" s="65"/>
      <c r="AG85" s="65">
        <v>579588.97</v>
      </c>
      <c r="AH85" s="65"/>
      <c r="AI85" s="65">
        <v>594730.4</v>
      </c>
    </row>
    <row r="86" spans="1:35" ht="12" customHeight="1">
      <c r="A86" s="12" t="s">
        <v>379</v>
      </c>
      <c r="B86" s="15"/>
      <c r="C86" s="15" t="s">
        <v>20</v>
      </c>
      <c r="D86" s="15"/>
      <c r="E86" s="65">
        <v>370767.67</v>
      </c>
      <c r="F86" s="65"/>
      <c r="G86" s="65">
        <v>4424.68</v>
      </c>
      <c r="H86" s="65"/>
      <c r="I86" s="65">
        <v>0</v>
      </c>
      <c r="J86" s="65"/>
      <c r="K86" s="65">
        <v>0</v>
      </c>
      <c r="L86" s="65"/>
      <c r="M86" s="65">
        <v>-366342.99</v>
      </c>
      <c r="N86" s="65"/>
      <c r="O86" s="65">
        <v>86824.04</v>
      </c>
      <c r="P86" s="65"/>
      <c r="Q86" s="65">
        <v>308115.48</v>
      </c>
      <c r="R86" s="65"/>
      <c r="S86" s="65">
        <v>0</v>
      </c>
      <c r="T86" s="65"/>
      <c r="U86" s="65">
        <v>54.85</v>
      </c>
      <c r="V86" s="65"/>
      <c r="W86" s="65">
        <v>3695.3</v>
      </c>
      <c r="X86" s="65"/>
      <c r="Y86" s="65">
        <v>0</v>
      </c>
      <c r="Z86" s="65"/>
      <c r="AA86" s="65">
        <v>0</v>
      </c>
      <c r="AB86" s="65"/>
      <c r="AC86" s="65">
        <f t="shared" ref="AC86:AC88" si="24">SUM(O86:AA86)</f>
        <v>398689.66999999993</v>
      </c>
      <c r="AD86" s="65"/>
      <c r="AE86" s="65">
        <v>32346.68</v>
      </c>
      <c r="AF86" s="65"/>
      <c r="AG86" s="65">
        <v>240184.9</v>
      </c>
      <c r="AH86" s="65"/>
      <c r="AI86" s="65">
        <v>272531.58</v>
      </c>
    </row>
    <row r="87" spans="1:35" ht="12" customHeight="1">
      <c r="A87" s="4" t="s">
        <v>554</v>
      </c>
      <c r="B87" s="4"/>
      <c r="C87" s="4" t="s">
        <v>64</v>
      </c>
      <c r="D87" s="4"/>
      <c r="E87" s="65">
        <v>1417021.31</v>
      </c>
      <c r="F87" s="65"/>
      <c r="G87" s="65">
        <v>34497.46</v>
      </c>
      <c r="H87" s="65"/>
      <c r="I87" s="65">
        <v>10784.77</v>
      </c>
      <c r="J87" s="65"/>
      <c r="K87" s="65">
        <v>0</v>
      </c>
      <c r="L87" s="65"/>
      <c r="M87" s="65">
        <v>-1371739.08</v>
      </c>
      <c r="N87" s="65"/>
      <c r="O87" s="65">
        <v>707938.85</v>
      </c>
      <c r="P87" s="65"/>
      <c r="Q87" s="65">
        <v>884612.77</v>
      </c>
      <c r="R87" s="65"/>
      <c r="S87" s="65">
        <v>0</v>
      </c>
      <c r="T87" s="65"/>
      <c r="U87" s="65">
        <v>1283.69</v>
      </c>
      <c r="V87" s="65"/>
      <c r="W87" s="65">
        <v>44141.45</v>
      </c>
      <c r="X87" s="65"/>
      <c r="Y87" s="65">
        <v>0</v>
      </c>
      <c r="Z87" s="65"/>
      <c r="AA87" s="65">
        <v>0</v>
      </c>
      <c r="AB87" s="65"/>
      <c r="AC87" s="65">
        <f t="shared" si="24"/>
        <v>1637976.76</v>
      </c>
      <c r="AD87" s="65"/>
      <c r="AE87" s="65">
        <v>266237.68</v>
      </c>
      <c r="AF87" s="65"/>
      <c r="AG87" s="65">
        <v>656466.22</v>
      </c>
      <c r="AH87" s="65"/>
      <c r="AI87" s="65">
        <v>922703.9</v>
      </c>
    </row>
    <row r="88" spans="1:35" ht="12" customHeight="1">
      <c r="A88" s="12" t="s">
        <v>437</v>
      </c>
      <c r="B88" s="15"/>
      <c r="C88" s="15" t="s">
        <v>234</v>
      </c>
      <c r="D88" s="15"/>
      <c r="E88" s="43">
        <v>3360121</v>
      </c>
      <c r="F88" s="43"/>
      <c r="G88" s="43">
        <v>56880</v>
      </c>
      <c r="H88" s="43"/>
      <c r="I88" s="43">
        <v>18996</v>
      </c>
      <c r="J88" s="43"/>
      <c r="K88" s="43">
        <v>5022</v>
      </c>
      <c r="L88" s="43"/>
      <c r="M88" s="43">
        <f t="shared" ref="M88:M99" si="25">-E88+G88+I88+K88</f>
        <v>-3279223</v>
      </c>
      <c r="N88" s="43"/>
      <c r="O88" s="43">
        <v>0</v>
      </c>
      <c r="P88" s="43"/>
      <c r="Q88" s="43">
        <v>1499143</v>
      </c>
      <c r="R88" s="43"/>
      <c r="S88" s="43">
        <v>2000</v>
      </c>
      <c r="T88" s="43"/>
      <c r="U88" s="43">
        <v>51813</v>
      </c>
      <c r="V88" s="43"/>
      <c r="W88" s="43">
        <v>8447</v>
      </c>
      <c r="X88" s="43"/>
      <c r="Y88" s="43">
        <v>0</v>
      </c>
      <c r="Z88" s="43"/>
      <c r="AA88" s="43">
        <v>0</v>
      </c>
      <c r="AB88" s="43"/>
      <c r="AC88" s="65">
        <f t="shared" si="24"/>
        <v>1561403</v>
      </c>
      <c r="AD88" s="43"/>
      <c r="AE88" s="43">
        <f>AC88+M88</f>
        <v>-1717820</v>
      </c>
      <c r="AF88" s="43"/>
      <c r="AG88" s="43">
        <v>13562567</v>
      </c>
      <c r="AH88" s="43"/>
      <c r="AI88" s="43">
        <f t="shared" ref="AI88:AI99" si="26">AE88+AG88</f>
        <v>11844747</v>
      </c>
    </row>
    <row r="89" spans="1:35" ht="12" customHeight="1">
      <c r="A89" s="12" t="s">
        <v>635</v>
      </c>
      <c r="B89" s="15"/>
      <c r="C89" s="15" t="s">
        <v>65</v>
      </c>
      <c r="D89" s="15"/>
      <c r="E89" s="72">
        <v>1286887.68</v>
      </c>
      <c r="F89" s="72"/>
      <c r="G89" s="72">
        <v>52873</v>
      </c>
      <c r="H89" s="72"/>
      <c r="I89" s="72">
        <v>820.26</v>
      </c>
      <c r="J89" s="72"/>
      <c r="K89" s="72">
        <v>0</v>
      </c>
      <c r="L89" s="72"/>
      <c r="M89" s="72">
        <v>-1233194.42</v>
      </c>
      <c r="N89" s="72"/>
      <c r="O89" s="72">
        <v>844423.76</v>
      </c>
      <c r="P89" s="72"/>
      <c r="Q89" s="72">
        <v>872247.59</v>
      </c>
      <c r="R89" s="72"/>
      <c r="S89" s="72">
        <v>0</v>
      </c>
      <c r="T89" s="72"/>
      <c r="U89" s="72">
        <v>3399.52</v>
      </c>
      <c r="V89" s="72"/>
      <c r="W89" s="72">
        <v>10412.459999999999</v>
      </c>
      <c r="X89" s="72"/>
      <c r="Y89" s="72">
        <v>0</v>
      </c>
      <c r="Z89" s="72"/>
      <c r="AA89" s="72">
        <v>0</v>
      </c>
      <c r="AB89" s="72"/>
      <c r="AC89" s="72">
        <f>SUM(O89:AA89)</f>
        <v>1730483.33</v>
      </c>
      <c r="AD89" s="72"/>
      <c r="AE89" s="72">
        <v>497288.91</v>
      </c>
      <c r="AF89" s="72"/>
      <c r="AG89" s="72">
        <v>1448548.17</v>
      </c>
      <c r="AH89" s="72"/>
      <c r="AI89" s="72">
        <v>1945837.08</v>
      </c>
    </row>
    <row r="90" spans="1:35" ht="12" customHeight="1">
      <c r="A90" s="4" t="s">
        <v>574</v>
      </c>
      <c r="B90" s="15"/>
      <c r="C90" s="15" t="s">
        <v>51</v>
      </c>
      <c r="D90" s="15"/>
      <c r="E90" s="73">
        <v>1109637.72</v>
      </c>
      <c r="F90" s="73"/>
      <c r="G90" s="73">
        <v>18673.509999999998</v>
      </c>
      <c r="H90" s="73"/>
      <c r="I90" s="73">
        <v>0</v>
      </c>
      <c r="J90" s="73"/>
      <c r="K90" s="73">
        <v>0</v>
      </c>
      <c r="L90" s="73"/>
      <c r="M90" s="73">
        <v>-1090964.21</v>
      </c>
      <c r="N90" s="73"/>
      <c r="O90" s="73">
        <v>0</v>
      </c>
      <c r="P90" s="73"/>
      <c r="Q90" s="73">
        <v>1091615.08</v>
      </c>
      <c r="R90" s="73"/>
      <c r="S90" s="73">
        <v>0</v>
      </c>
      <c r="T90" s="73"/>
      <c r="U90" s="73">
        <v>163.91</v>
      </c>
      <c r="V90" s="73"/>
      <c r="W90" s="73">
        <v>19805.060000000001</v>
      </c>
      <c r="X90" s="73"/>
      <c r="Y90" s="73">
        <v>0</v>
      </c>
      <c r="Z90" s="73"/>
      <c r="AA90" s="73">
        <v>13000</v>
      </c>
      <c r="AB90" s="73"/>
      <c r="AC90" s="73">
        <f t="shared" ref="AC90" si="27">SUM(O90:AA90)</f>
        <v>1124584.05</v>
      </c>
      <c r="AD90" s="73"/>
      <c r="AE90" s="73">
        <v>33619.839999999997</v>
      </c>
      <c r="AF90" s="73"/>
      <c r="AG90" s="73">
        <v>354529.34</v>
      </c>
      <c r="AH90" s="73"/>
      <c r="AI90" s="73">
        <v>388149.18</v>
      </c>
    </row>
    <row r="91" spans="1:35" ht="12" customHeight="1">
      <c r="A91" s="4" t="s">
        <v>21</v>
      </c>
      <c r="B91" s="15"/>
      <c r="C91" s="15" t="s">
        <v>22</v>
      </c>
      <c r="D91" s="15"/>
      <c r="E91" s="65">
        <f>2472053+213864</f>
        <v>2685917</v>
      </c>
      <c r="F91" s="65"/>
      <c r="G91" s="65">
        <v>50226</v>
      </c>
      <c r="H91" s="65"/>
      <c r="I91" s="65">
        <v>34563</v>
      </c>
      <c r="J91" s="65"/>
      <c r="K91" s="65">
        <v>0</v>
      </c>
      <c r="L91" s="65"/>
      <c r="M91" s="43">
        <f t="shared" si="25"/>
        <v>-2601128</v>
      </c>
      <c r="N91" s="65"/>
      <c r="O91" s="65">
        <f>904914+2386620</f>
        <v>3291534</v>
      </c>
      <c r="P91" s="65"/>
      <c r="Q91" s="65">
        <v>0</v>
      </c>
      <c r="R91" s="65"/>
      <c r="S91" s="65">
        <v>21350</v>
      </c>
      <c r="T91" s="65"/>
      <c r="U91" s="65">
        <v>1281</v>
      </c>
      <c r="V91" s="65"/>
      <c r="W91" s="65">
        <v>59084</v>
      </c>
      <c r="X91" s="65"/>
      <c r="Y91" s="65">
        <v>0</v>
      </c>
      <c r="Z91" s="65"/>
      <c r="AA91" s="65">
        <v>0</v>
      </c>
      <c r="AB91" s="43"/>
      <c r="AC91" s="43">
        <f t="shared" si="23"/>
        <v>3373249</v>
      </c>
      <c r="AD91" s="43"/>
      <c r="AE91" s="43">
        <f>AC91+M91</f>
        <v>772121</v>
      </c>
      <c r="AF91" s="43"/>
      <c r="AG91" s="43">
        <v>1094448</v>
      </c>
      <c r="AH91" s="43"/>
      <c r="AI91" s="43">
        <f t="shared" si="26"/>
        <v>1866569</v>
      </c>
    </row>
    <row r="92" spans="1:35" ht="12" customHeight="1">
      <c r="A92" s="4" t="s">
        <v>609</v>
      </c>
      <c r="B92" s="15"/>
      <c r="C92" s="15" t="s">
        <v>569</v>
      </c>
      <c r="D92" s="15"/>
      <c r="E92" s="43">
        <v>55141291</v>
      </c>
      <c r="F92" s="43"/>
      <c r="G92" s="43">
        <v>1856747</v>
      </c>
      <c r="H92" s="43"/>
      <c r="I92" s="43">
        <v>874064</v>
      </c>
      <c r="J92" s="43"/>
      <c r="K92" s="43">
        <v>0</v>
      </c>
      <c r="L92" s="43"/>
      <c r="M92" s="43">
        <f t="shared" si="25"/>
        <v>-52410480</v>
      </c>
      <c r="N92" s="43"/>
      <c r="O92" s="43">
        <v>17244148</v>
      </c>
      <c r="P92" s="43"/>
      <c r="Q92" s="43">
        <v>38927193</v>
      </c>
      <c r="R92" s="43"/>
      <c r="S92" s="43">
        <v>0</v>
      </c>
      <c r="T92" s="43"/>
      <c r="U92" s="43">
        <v>56218</v>
      </c>
      <c r="V92" s="43"/>
      <c r="W92" s="43">
        <f>563561+5072</f>
        <v>568633</v>
      </c>
      <c r="X92" s="43"/>
      <c r="Y92" s="43">
        <v>0</v>
      </c>
      <c r="Z92" s="43"/>
      <c r="AA92" s="43">
        <v>0</v>
      </c>
      <c r="AB92" s="43"/>
      <c r="AC92" s="43">
        <f t="shared" si="23"/>
        <v>56796192</v>
      </c>
      <c r="AD92" s="43"/>
      <c r="AE92" s="43">
        <f>AC92+M92</f>
        <v>4385712</v>
      </c>
      <c r="AF92" s="43"/>
      <c r="AG92" s="43">
        <v>124465027</v>
      </c>
      <c r="AH92" s="43"/>
      <c r="AI92" s="43">
        <f t="shared" si="26"/>
        <v>128850739</v>
      </c>
    </row>
    <row r="93" spans="1:35" ht="12" hidden="1" customHeight="1">
      <c r="A93" s="4" t="s">
        <v>384</v>
      </c>
      <c r="B93" s="4"/>
      <c r="C93" s="4" t="s">
        <v>44</v>
      </c>
      <c r="D93" s="4"/>
      <c r="E93" s="43"/>
      <c r="F93" s="43"/>
      <c r="G93" s="43"/>
      <c r="H93" s="43"/>
      <c r="I93" s="43"/>
      <c r="J93" s="43"/>
      <c r="K93" s="43"/>
      <c r="L93" s="43"/>
      <c r="M93" s="43">
        <f t="shared" si="25"/>
        <v>0</v>
      </c>
      <c r="N93" s="43"/>
      <c r="O93" s="43"/>
      <c r="P93" s="43"/>
      <c r="Q93" s="43"/>
      <c r="R93" s="43"/>
      <c r="S93" s="43">
        <v>0</v>
      </c>
      <c r="T93" s="43"/>
      <c r="U93" s="43"/>
      <c r="V93" s="43"/>
      <c r="W93" s="43"/>
      <c r="X93" s="43"/>
      <c r="Y93" s="43"/>
      <c r="Z93" s="43"/>
      <c r="AA93" s="43"/>
      <c r="AB93" s="43"/>
      <c r="AC93" s="43">
        <f t="shared" si="23"/>
        <v>0</v>
      </c>
      <c r="AD93" s="43"/>
      <c r="AE93" s="43">
        <f>AC93+M93</f>
        <v>0</v>
      </c>
      <c r="AF93" s="43"/>
      <c r="AG93" s="43"/>
      <c r="AH93" s="43"/>
      <c r="AI93" s="43">
        <f t="shared" si="26"/>
        <v>0</v>
      </c>
    </row>
    <row r="94" spans="1:35" ht="12" hidden="1" customHeight="1">
      <c r="A94" s="4" t="s">
        <v>385</v>
      </c>
      <c r="B94" s="4"/>
      <c r="C94" s="4" t="s">
        <v>59</v>
      </c>
      <c r="D94" s="4"/>
      <c r="E94" s="43"/>
      <c r="F94" s="43"/>
      <c r="G94" s="43"/>
      <c r="H94" s="43"/>
      <c r="I94" s="43"/>
      <c r="J94" s="43"/>
      <c r="K94" s="43"/>
      <c r="L94" s="43"/>
      <c r="M94" s="43">
        <f t="shared" si="25"/>
        <v>0</v>
      </c>
      <c r="N94" s="43"/>
      <c r="O94" s="43"/>
      <c r="P94" s="43"/>
      <c r="Q94" s="43"/>
      <c r="R94" s="43"/>
      <c r="S94" s="43">
        <v>0</v>
      </c>
      <c r="T94" s="43"/>
      <c r="U94" s="43"/>
      <c r="V94" s="43"/>
      <c r="W94" s="43"/>
      <c r="X94" s="43"/>
      <c r="Y94" s="43"/>
      <c r="Z94" s="43"/>
      <c r="AA94" s="43"/>
      <c r="AB94" s="43"/>
      <c r="AC94" s="43">
        <f t="shared" si="23"/>
        <v>0</v>
      </c>
      <c r="AD94" s="43"/>
      <c r="AE94" s="43">
        <f>AC94+M94</f>
        <v>0</v>
      </c>
      <c r="AF94" s="43"/>
      <c r="AG94" s="43"/>
      <c r="AH94" s="43"/>
      <c r="AI94" s="43">
        <f t="shared" si="26"/>
        <v>0</v>
      </c>
    </row>
    <row r="95" spans="1:35" ht="12" customHeight="1">
      <c r="A95" s="4" t="s">
        <v>240</v>
      </c>
      <c r="B95" s="4"/>
      <c r="C95" s="4" t="s">
        <v>165</v>
      </c>
      <c r="D95" s="4"/>
      <c r="E95" s="65">
        <v>1154587.8700000001</v>
      </c>
      <c r="F95" s="65"/>
      <c r="G95" s="65">
        <v>32807.58</v>
      </c>
      <c r="H95" s="65"/>
      <c r="I95" s="65">
        <v>8862.44</v>
      </c>
      <c r="J95" s="65"/>
      <c r="K95" s="65">
        <v>1300</v>
      </c>
      <c r="L95" s="65"/>
      <c r="M95" s="65">
        <v>-1111617.8500000001</v>
      </c>
      <c r="N95" s="65"/>
      <c r="O95" s="65">
        <v>531216.28</v>
      </c>
      <c r="P95" s="65"/>
      <c r="Q95" s="65">
        <v>569048.6</v>
      </c>
      <c r="R95" s="65"/>
      <c r="S95" s="43">
        <v>0</v>
      </c>
      <c r="T95" s="65"/>
      <c r="U95" s="65">
        <v>4461.7299999999996</v>
      </c>
      <c r="V95" s="65"/>
      <c r="W95" s="65">
        <v>4192.8</v>
      </c>
      <c r="X95" s="65"/>
      <c r="Y95" s="65">
        <v>0</v>
      </c>
      <c r="Z95" s="65"/>
      <c r="AA95" s="65">
        <v>0</v>
      </c>
      <c r="AB95" s="65"/>
      <c r="AC95" s="65">
        <f t="shared" ref="AC95:AC97" si="28">SUM(O95:AA95)</f>
        <v>1108919.4099999999</v>
      </c>
      <c r="AD95" s="65"/>
      <c r="AE95" s="65">
        <v>-2698.44</v>
      </c>
      <c r="AF95" s="65"/>
      <c r="AG95" s="65">
        <v>951986.3</v>
      </c>
      <c r="AH95" s="65"/>
      <c r="AI95" s="65">
        <v>949287.86</v>
      </c>
    </row>
    <row r="96" spans="1:35" ht="12" customHeight="1">
      <c r="A96" s="4" t="s">
        <v>386</v>
      </c>
      <c r="B96" s="4"/>
      <c r="C96" s="15" t="s">
        <v>41</v>
      </c>
      <c r="D96" s="4"/>
      <c r="E96" s="65">
        <v>147068.13</v>
      </c>
      <c r="F96" s="65"/>
      <c r="G96" s="65">
        <v>7053.33</v>
      </c>
      <c r="H96" s="65"/>
      <c r="I96" s="65">
        <v>0</v>
      </c>
      <c r="J96" s="65"/>
      <c r="K96" s="65">
        <v>0</v>
      </c>
      <c r="L96" s="65"/>
      <c r="M96" s="65">
        <v>-140014.79999999999</v>
      </c>
      <c r="N96" s="65"/>
      <c r="O96" s="65">
        <v>0</v>
      </c>
      <c r="P96" s="65"/>
      <c r="Q96" s="65">
        <v>159302.48000000001</v>
      </c>
      <c r="R96" s="65"/>
      <c r="S96" s="43">
        <v>0</v>
      </c>
      <c r="T96" s="65"/>
      <c r="U96" s="65">
        <v>302.3</v>
      </c>
      <c r="V96" s="65"/>
      <c r="W96" s="65">
        <v>154.21</v>
      </c>
      <c r="X96" s="65"/>
      <c r="Y96" s="65">
        <v>0</v>
      </c>
      <c r="Z96" s="65"/>
      <c r="AA96" s="65">
        <v>0</v>
      </c>
      <c r="AB96" s="65"/>
      <c r="AC96" s="65">
        <f t="shared" si="28"/>
        <v>159758.99</v>
      </c>
      <c r="AD96" s="65"/>
      <c r="AE96" s="65">
        <v>19744.189999999999</v>
      </c>
      <c r="AF96" s="65"/>
      <c r="AG96" s="65">
        <v>186774.98</v>
      </c>
      <c r="AH96" s="65"/>
      <c r="AI96" s="65">
        <v>206519.17</v>
      </c>
    </row>
    <row r="97" spans="1:35" ht="12" customHeight="1">
      <c r="A97" s="7" t="s">
        <v>510</v>
      </c>
      <c r="B97" s="7"/>
      <c r="C97" s="7" t="s">
        <v>48</v>
      </c>
      <c r="D97" s="7"/>
      <c r="E97" s="65">
        <v>210333.66</v>
      </c>
      <c r="F97" s="65"/>
      <c r="G97" s="65">
        <v>1666.71</v>
      </c>
      <c r="H97" s="65"/>
      <c r="I97" s="65">
        <v>9423.18</v>
      </c>
      <c r="J97" s="65"/>
      <c r="K97" s="65">
        <v>0</v>
      </c>
      <c r="L97" s="65"/>
      <c r="M97" s="65">
        <v>-199243.77</v>
      </c>
      <c r="N97" s="65"/>
      <c r="O97" s="65">
        <v>60659.519999999997</v>
      </c>
      <c r="P97" s="65"/>
      <c r="Q97" s="65">
        <v>166163.49</v>
      </c>
      <c r="R97" s="65"/>
      <c r="S97" s="43">
        <v>0</v>
      </c>
      <c r="T97" s="65"/>
      <c r="U97" s="65">
        <v>120.36</v>
      </c>
      <c r="V97" s="65"/>
      <c r="W97" s="65">
        <v>752.8</v>
      </c>
      <c r="X97" s="65"/>
      <c r="Y97" s="65">
        <v>0</v>
      </c>
      <c r="Z97" s="65"/>
      <c r="AA97" s="65">
        <v>0</v>
      </c>
      <c r="AB97" s="65"/>
      <c r="AC97" s="65">
        <f t="shared" si="28"/>
        <v>227696.16999999995</v>
      </c>
      <c r="AD97" s="65"/>
      <c r="AE97" s="65">
        <v>28452.400000000001</v>
      </c>
      <c r="AF97" s="65"/>
      <c r="AG97" s="65">
        <v>24390.959999999999</v>
      </c>
      <c r="AH97" s="65"/>
      <c r="AI97" s="65">
        <v>52843.360000000001</v>
      </c>
    </row>
    <row r="98" spans="1:35" s="4" customFormat="1" ht="12" hidden="1">
      <c r="A98" s="4" t="s">
        <v>242</v>
      </c>
      <c r="C98" s="4" t="s">
        <v>17</v>
      </c>
      <c r="E98" s="43"/>
      <c r="F98" s="43"/>
      <c r="G98" s="43"/>
      <c r="H98" s="43"/>
      <c r="I98" s="43"/>
      <c r="J98" s="43"/>
      <c r="K98" s="43"/>
      <c r="L98" s="43"/>
      <c r="M98" s="43">
        <f t="shared" si="25"/>
        <v>0</v>
      </c>
      <c r="N98" s="43"/>
      <c r="O98" s="43"/>
      <c r="P98" s="43"/>
      <c r="Q98" s="43"/>
      <c r="R98" s="43"/>
      <c r="S98" s="43">
        <v>0</v>
      </c>
      <c r="T98" s="43"/>
      <c r="U98" s="43"/>
      <c r="V98" s="43"/>
      <c r="W98" s="43"/>
      <c r="X98" s="43"/>
      <c r="Y98" s="43"/>
      <c r="Z98" s="43"/>
      <c r="AA98" s="43"/>
      <c r="AB98" s="43"/>
      <c r="AC98" s="43">
        <f t="shared" si="23"/>
        <v>0</v>
      </c>
      <c r="AD98" s="43"/>
      <c r="AE98" s="43">
        <f>AC98+M98</f>
        <v>0</v>
      </c>
      <c r="AF98" s="43"/>
      <c r="AG98" s="43"/>
      <c r="AH98" s="43"/>
      <c r="AI98" s="43">
        <f t="shared" si="26"/>
        <v>0</v>
      </c>
    </row>
    <row r="99" spans="1:35" s="4" customFormat="1" ht="12" hidden="1">
      <c r="A99" s="4" t="s">
        <v>514</v>
      </c>
      <c r="C99" s="4" t="s">
        <v>60</v>
      </c>
      <c r="E99" s="43"/>
      <c r="F99" s="43"/>
      <c r="G99" s="43"/>
      <c r="H99" s="43"/>
      <c r="I99" s="43"/>
      <c r="J99" s="43"/>
      <c r="K99" s="43"/>
      <c r="L99" s="43"/>
      <c r="M99" s="43">
        <f t="shared" si="25"/>
        <v>0</v>
      </c>
      <c r="N99" s="43"/>
      <c r="O99" s="43"/>
      <c r="P99" s="43"/>
      <c r="Q99" s="43"/>
      <c r="R99" s="43"/>
      <c r="S99" s="43">
        <v>0</v>
      </c>
      <c r="T99" s="43"/>
      <c r="U99" s="43"/>
      <c r="V99" s="43"/>
      <c r="W99" s="43"/>
      <c r="X99" s="43"/>
      <c r="Y99" s="43"/>
      <c r="Z99" s="43"/>
      <c r="AA99" s="43"/>
      <c r="AB99" s="43"/>
      <c r="AC99" s="43">
        <f t="shared" si="23"/>
        <v>0</v>
      </c>
      <c r="AD99" s="43"/>
      <c r="AE99" s="43">
        <f>AC99+M99</f>
        <v>0</v>
      </c>
      <c r="AF99" s="43"/>
      <c r="AG99" s="43"/>
      <c r="AH99" s="43"/>
      <c r="AI99" s="43">
        <f t="shared" si="26"/>
        <v>0</v>
      </c>
    </row>
    <row r="100" spans="1:35" s="4" customFormat="1" ht="12">
      <c r="A100" s="4" t="s">
        <v>391</v>
      </c>
      <c r="C100" s="4" t="s">
        <v>42</v>
      </c>
      <c r="E100" s="65">
        <v>587231.1</v>
      </c>
      <c r="F100" s="65"/>
      <c r="G100" s="65">
        <v>11611.18</v>
      </c>
      <c r="H100" s="65"/>
      <c r="I100" s="65">
        <v>27658.87</v>
      </c>
      <c r="J100" s="65"/>
      <c r="K100" s="65">
        <v>0</v>
      </c>
      <c r="L100" s="65"/>
      <c r="M100" s="65">
        <v>-547961.05000000005</v>
      </c>
      <c r="N100" s="65"/>
      <c r="O100" s="65">
        <v>160114.82999999999</v>
      </c>
      <c r="P100" s="65"/>
      <c r="Q100" s="65">
        <v>430465.88</v>
      </c>
      <c r="R100" s="65"/>
      <c r="S100" s="65">
        <v>0</v>
      </c>
      <c r="T100" s="65"/>
      <c r="U100" s="65">
        <v>9.32</v>
      </c>
      <c r="V100" s="65"/>
      <c r="W100" s="65">
        <v>15207.4</v>
      </c>
      <c r="X100" s="65"/>
      <c r="Y100" s="65">
        <v>0</v>
      </c>
      <c r="Z100" s="65"/>
      <c r="AA100" s="65">
        <v>0</v>
      </c>
      <c r="AB100" s="65"/>
      <c r="AC100" s="65">
        <f t="shared" ref="AC100" si="29">SUM(O100:AA100)</f>
        <v>605797.42999999993</v>
      </c>
      <c r="AD100" s="65"/>
      <c r="AE100" s="65">
        <v>57836.38</v>
      </c>
      <c r="AF100" s="65"/>
      <c r="AG100" s="65">
        <v>76933.3</v>
      </c>
      <c r="AH100" s="65"/>
      <c r="AI100" s="65">
        <v>134769.68</v>
      </c>
    </row>
    <row r="101" spans="1:35" s="4" customFormat="1" ht="12">
      <c r="A101" s="12"/>
      <c r="B101" s="15"/>
      <c r="C101" s="15"/>
      <c r="D101" s="15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s="4" customFormat="1" ht="12">
      <c r="A102" s="12"/>
      <c r="B102" s="15"/>
      <c r="C102" s="15"/>
      <c r="D102" s="15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43" t="s">
        <v>580</v>
      </c>
    </row>
    <row r="103" spans="1:35" ht="12" customHeight="1">
      <c r="A103" s="80" t="s">
        <v>520</v>
      </c>
      <c r="B103" s="80"/>
      <c r="C103" s="80"/>
      <c r="D103" s="80"/>
      <c r="E103" s="8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2" customHeight="1">
      <c r="A104" s="15" t="s">
        <v>396</v>
      </c>
      <c r="B104" s="15"/>
      <c r="C104" s="15"/>
      <c r="D104" s="15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2" customHeight="1">
      <c r="A105" s="15" t="s">
        <v>626</v>
      </c>
      <c r="B105" s="15"/>
      <c r="C105" s="15"/>
      <c r="D105" s="15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2" customHeight="1">
      <c r="A106" s="15" t="s">
        <v>5</v>
      </c>
      <c r="B106" s="15"/>
      <c r="C106" s="15"/>
      <c r="D106" s="15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2" customHeight="1">
      <c r="B107" s="15"/>
      <c r="C107" s="15"/>
      <c r="D107" s="15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2" customHeight="1">
      <c r="A108" s="12" t="s">
        <v>397</v>
      </c>
      <c r="B108" s="15"/>
      <c r="C108" s="15"/>
      <c r="D108" s="15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2" customHeight="1">
      <c r="A109" s="15"/>
      <c r="B109" s="15"/>
      <c r="C109" s="15"/>
      <c r="D109" s="15"/>
      <c r="E109" s="56"/>
      <c r="F109" s="56"/>
      <c r="G109" s="81" t="s">
        <v>346</v>
      </c>
      <c r="H109" s="81"/>
      <c r="I109" s="81"/>
      <c r="J109" s="81"/>
      <c r="K109" s="81"/>
      <c r="L109" s="23"/>
      <c r="M109" s="23"/>
      <c r="N109" s="23"/>
      <c r="O109" s="81" t="s">
        <v>347</v>
      </c>
      <c r="P109" s="81"/>
      <c r="Q109" s="81"/>
      <c r="R109" s="81"/>
      <c r="S109" s="81"/>
      <c r="T109" s="81"/>
      <c r="U109" s="81"/>
      <c r="V109" s="81"/>
      <c r="W109" s="81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2" customHeight="1">
      <c r="A110" s="15"/>
      <c r="B110" s="15"/>
      <c r="C110" s="15"/>
      <c r="D110" s="15"/>
      <c r="E110" s="56"/>
      <c r="F110" s="56"/>
      <c r="G110" s="56"/>
      <c r="H110" s="56"/>
      <c r="I110" s="57" t="s">
        <v>398</v>
      </c>
      <c r="J110" s="56"/>
      <c r="K110" s="56"/>
      <c r="L110" s="23"/>
      <c r="M110" s="23"/>
      <c r="N110" s="23"/>
      <c r="O110" s="23"/>
      <c r="P110" s="23"/>
      <c r="Q110" s="27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2" customHeight="1">
      <c r="D111" s="15"/>
      <c r="E111" s="56"/>
      <c r="F111" s="56"/>
      <c r="G111" s="56"/>
      <c r="H111" s="56"/>
      <c r="I111" s="57" t="s">
        <v>399</v>
      </c>
      <c r="J111" s="56"/>
      <c r="K111" s="56"/>
      <c r="L111" s="23"/>
      <c r="M111" s="57" t="s">
        <v>404</v>
      </c>
      <c r="N111" s="56"/>
      <c r="O111" s="57" t="s">
        <v>29</v>
      </c>
      <c r="P111" s="57"/>
      <c r="Q111" s="57" t="s">
        <v>399</v>
      </c>
      <c r="R111" s="56"/>
      <c r="S111" s="57" t="s">
        <v>409</v>
      </c>
      <c r="T111" s="56"/>
      <c r="U111" s="56"/>
      <c r="V111" s="56"/>
      <c r="W111" s="56"/>
      <c r="X111" s="56"/>
      <c r="Y111" s="57" t="s">
        <v>411</v>
      </c>
      <c r="Z111" s="23"/>
      <c r="AA111" s="57" t="s">
        <v>405</v>
      </c>
      <c r="AB111" s="23"/>
      <c r="AC111" s="57"/>
      <c r="AD111" s="56"/>
      <c r="AE111" s="57" t="s">
        <v>406</v>
      </c>
      <c r="AF111" s="56"/>
      <c r="AG111" s="57" t="s">
        <v>407</v>
      </c>
      <c r="AH111" s="56"/>
      <c r="AI111" s="57" t="s">
        <v>404</v>
      </c>
    </row>
    <row r="112" spans="1:35" ht="12" customHeight="1">
      <c r="A112" s="58"/>
      <c r="B112" s="58"/>
      <c r="C112" s="15"/>
      <c r="D112" s="15"/>
      <c r="E112" s="57" t="s">
        <v>400</v>
      </c>
      <c r="F112" s="56"/>
      <c r="G112" s="57" t="s">
        <v>401</v>
      </c>
      <c r="H112" s="56"/>
      <c r="I112" s="57" t="s">
        <v>402</v>
      </c>
      <c r="J112" s="56"/>
      <c r="K112" s="57" t="s">
        <v>28</v>
      </c>
      <c r="L112" s="23"/>
      <c r="M112" s="57" t="s">
        <v>515</v>
      </c>
      <c r="N112" s="56"/>
      <c r="O112" s="57" t="s">
        <v>408</v>
      </c>
      <c r="P112" s="57"/>
      <c r="Q112" s="57" t="s">
        <v>543</v>
      </c>
      <c r="R112" s="56"/>
      <c r="S112" s="57" t="s">
        <v>542</v>
      </c>
      <c r="T112" s="56"/>
      <c r="U112" s="57" t="s">
        <v>410</v>
      </c>
      <c r="V112" s="56"/>
      <c r="W112" s="56"/>
      <c r="X112" s="56"/>
      <c r="Y112" s="57" t="s">
        <v>577</v>
      </c>
      <c r="Z112" s="23"/>
      <c r="AA112" s="57" t="s">
        <v>412</v>
      </c>
      <c r="AB112" s="23"/>
      <c r="AC112" s="57" t="s">
        <v>26</v>
      </c>
      <c r="AD112" s="56"/>
      <c r="AE112" s="57" t="s">
        <v>413</v>
      </c>
      <c r="AF112" s="56"/>
      <c r="AG112" s="57" t="s">
        <v>414</v>
      </c>
      <c r="AH112" s="56"/>
      <c r="AI112" s="57" t="s">
        <v>30</v>
      </c>
    </row>
    <row r="113" spans="1:35" s="4" customFormat="1" ht="12">
      <c r="A113" s="45" t="s">
        <v>6</v>
      </c>
      <c r="B113" s="58"/>
      <c r="C113" s="40" t="s">
        <v>4</v>
      </c>
      <c r="D113" s="58"/>
      <c r="E113" s="57" t="s">
        <v>579</v>
      </c>
      <c r="F113" s="58"/>
      <c r="G113" s="69" t="s">
        <v>27</v>
      </c>
      <c r="H113" s="58"/>
      <c r="I113" s="69" t="s">
        <v>403</v>
      </c>
      <c r="J113" s="58"/>
      <c r="K113" s="69" t="s">
        <v>399</v>
      </c>
      <c r="L113" s="58"/>
      <c r="M113" s="69" t="s">
        <v>415</v>
      </c>
      <c r="N113" s="58"/>
      <c r="O113" s="69" t="s">
        <v>416</v>
      </c>
      <c r="P113" s="69"/>
      <c r="Q113" s="69" t="s">
        <v>544</v>
      </c>
      <c r="R113" s="58"/>
      <c r="S113" s="69" t="s">
        <v>402</v>
      </c>
      <c r="T113" s="58"/>
      <c r="U113" s="69" t="s">
        <v>417</v>
      </c>
      <c r="V113" s="58"/>
      <c r="W113" s="69" t="s">
        <v>0</v>
      </c>
      <c r="X113" s="58"/>
      <c r="Y113" s="69" t="s">
        <v>578</v>
      </c>
      <c r="Z113" s="58"/>
      <c r="AA113" s="69" t="s">
        <v>418</v>
      </c>
      <c r="AB113" s="58"/>
      <c r="AC113" s="69" t="s">
        <v>550</v>
      </c>
      <c r="AD113" s="58"/>
      <c r="AE113" s="69" t="s">
        <v>30</v>
      </c>
      <c r="AF113" s="58"/>
      <c r="AG113" s="69" t="s">
        <v>419</v>
      </c>
      <c r="AH113" s="58"/>
      <c r="AI113" s="69" t="s">
        <v>420</v>
      </c>
    </row>
    <row r="114" spans="1:35" s="61" customFormat="1" ht="12" customHeight="1">
      <c r="A114" s="42" t="s">
        <v>555</v>
      </c>
      <c r="B114" s="42"/>
      <c r="C114" s="42" t="s">
        <v>11</v>
      </c>
      <c r="D114" s="70"/>
      <c r="E114" s="71">
        <v>501000.37</v>
      </c>
      <c r="F114" s="71"/>
      <c r="G114" s="71">
        <v>12260.36</v>
      </c>
      <c r="H114" s="71"/>
      <c r="I114" s="71">
        <v>3701.16</v>
      </c>
      <c r="J114" s="71"/>
      <c r="K114" s="71">
        <v>0</v>
      </c>
      <c r="L114" s="71"/>
      <c r="M114" s="71">
        <v>-485038.85</v>
      </c>
      <c r="N114" s="71"/>
      <c r="O114" s="71">
        <v>0</v>
      </c>
      <c r="P114" s="71"/>
      <c r="Q114" s="71">
        <v>410497.09</v>
      </c>
      <c r="R114" s="71"/>
      <c r="S114" s="71">
        <v>0</v>
      </c>
      <c r="T114" s="71"/>
      <c r="U114" s="71">
        <v>594.87</v>
      </c>
      <c r="V114" s="71"/>
      <c r="W114" s="71">
        <v>57.69</v>
      </c>
      <c r="X114" s="71"/>
      <c r="Y114" s="71">
        <v>0</v>
      </c>
      <c r="Z114" s="71"/>
      <c r="AA114" s="71">
        <v>0</v>
      </c>
      <c r="AB114" s="71"/>
      <c r="AC114" s="71">
        <f t="shared" ref="AC114" si="30">SUM(O114:AA114)</f>
        <v>411149.65</v>
      </c>
      <c r="AD114" s="71"/>
      <c r="AE114" s="71">
        <v>-73889.2</v>
      </c>
      <c r="AF114" s="71"/>
      <c r="AG114" s="71">
        <v>687357.06</v>
      </c>
      <c r="AH114" s="71"/>
      <c r="AI114" s="71">
        <v>613467.86</v>
      </c>
    </row>
    <row r="115" spans="1:35" s="4" customFormat="1" ht="12">
      <c r="A115" s="12" t="s">
        <v>253</v>
      </c>
      <c r="B115" s="15"/>
      <c r="C115" s="15" t="s">
        <v>23</v>
      </c>
      <c r="D115" s="15"/>
      <c r="E115" s="43">
        <v>11770663</v>
      </c>
      <c r="F115" s="43"/>
      <c r="G115" s="43">
        <v>295146</v>
      </c>
      <c r="H115" s="43"/>
      <c r="I115" s="43">
        <v>40206</v>
      </c>
      <c r="J115" s="43"/>
      <c r="K115" s="43">
        <v>147557</v>
      </c>
      <c r="L115" s="43"/>
      <c r="M115" s="43">
        <f t="shared" ref="M115:M128" si="31">-E115+G115+I115+K115</f>
        <v>-11287754</v>
      </c>
      <c r="N115" s="43"/>
      <c r="O115" s="43">
        <v>4095536</v>
      </c>
      <c r="P115" s="43"/>
      <c r="Q115" s="43">
        <v>968909</v>
      </c>
      <c r="R115" s="43"/>
      <c r="S115" s="43">
        <v>0</v>
      </c>
      <c r="T115" s="43"/>
      <c r="U115" s="43">
        <v>5199</v>
      </c>
      <c r="V115" s="43"/>
      <c r="W115" s="43">
        <f>80525+6678554</f>
        <v>6759079</v>
      </c>
      <c r="X115" s="43"/>
      <c r="Y115" s="43">
        <v>0</v>
      </c>
      <c r="Z115" s="43"/>
      <c r="AA115" s="43">
        <v>0</v>
      </c>
      <c r="AB115" s="23"/>
      <c r="AC115" s="23">
        <f t="shared" ref="AC115:AC129" si="32">SUM(O115:AA115)</f>
        <v>11828723</v>
      </c>
      <c r="AD115" s="23"/>
      <c r="AE115" s="23">
        <f t="shared" ref="AE115:AE125" si="33">AC115+M115</f>
        <v>540969</v>
      </c>
      <c r="AF115" s="23"/>
      <c r="AG115" s="42">
        <v>2520802</v>
      </c>
      <c r="AH115" s="23"/>
      <c r="AI115" s="23">
        <f t="shared" ref="AI115:AI128" si="34">AE115+AG115</f>
        <v>3061771</v>
      </c>
    </row>
    <row r="116" spans="1:35" s="4" customFormat="1" ht="12">
      <c r="A116" s="12" t="s">
        <v>256</v>
      </c>
      <c r="B116" s="12"/>
      <c r="C116" s="12" t="s">
        <v>20</v>
      </c>
      <c r="D116" s="15"/>
      <c r="E116" s="43">
        <v>2744262</v>
      </c>
      <c r="F116" s="43"/>
      <c r="G116" s="43">
        <v>80785</v>
      </c>
      <c r="H116" s="43"/>
      <c r="I116" s="43">
        <v>0</v>
      </c>
      <c r="J116" s="43"/>
      <c r="K116" s="43">
        <v>0</v>
      </c>
      <c r="L116" s="43"/>
      <c r="M116" s="43">
        <f t="shared" si="31"/>
        <v>-2663477</v>
      </c>
      <c r="N116" s="43"/>
      <c r="O116" s="43">
        <v>1739971</v>
      </c>
      <c r="P116" s="43"/>
      <c r="Q116" s="43">
        <v>1251835</v>
      </c>
      <c r="R116" s="43"/>
      <c r="S116" s="43">
        <v>1326</v>
      </c>
      <c r="T116" s="43"/>
      <c r="U116" s="43">
        <v>339</v>
      </c>
      <c r="V116" s="43"/>
      <c r="W116" s="43">
        <v>28825</v>
      </c>
      <c r="X116" s="43"/>
      <c r="Y116" s="43">
        <v>0</v>
      </c>
      <c r="Z116" s="43"/>
      <c r="AA116" s="43">
        <v>0</v>
      </c>
      <c r="AB116" s="23"/>
      <c r="AC116" s="23">
        <f t="shared" si="32"/>
        <v>3022296</v>
      </c>
      <c r="AD116" s="23"/>
      <c r="AE116" s="23">
        <f t="shared" si="33"/>
        <v>358819</v>
      </c>
      <c r="AF116" s="23"/>
      <c r="AG116" s="42">
        <v>673868</v>
      </c>
      <c r="AH116" s="23"/>
      <c r="AI116" s="23">
        <f t="shared" si="34"/>
        <v>1032687</v>
      </c>
    </row>
    <row r="117" spans="1:35" s="4" customFormat="1" ht="12" hidden="1">
      <c r="A117" s="4" t="s">
        <v>568</v>
      </c>
      <c r="C117" s="4" t="s">
        <v>569</v>
      </c>
      <c r="E117" s="43"/>
      <c r="F117" s="43"/>
      <c r="G117" s="43"/>
      <c r="H117" s="43"/>
      <c r="I117" s="43"/>
      <c r="J117" s="43"/>
      <c r="K117" s="43"/>
      <c r="L117" s="43"/>
      <c r="M117" s="43">
        <f t="shared" si="31"/>
        <v>0</v>
      </c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>
        <v>0</v>
      </c>
      <c r="Z117" s="43"/>
      <c r="AA117" s="43">
        <v>0</v>
      </c>
      <c r="AC117" s="23">
        <f t="shared" si="32"/>
        <v>0</v>
      </c>
      <c r="AE117" s="23">
        <f t="shared" si="33"/>
        <v>0</v>
      </c>
      <c r="AG117" s="42"/>
      <c r="AI117" s="23">
        <f t="shared" si="34"/>
        <v>0</v>
      </c>
    </row>
    <row r="118" spans="1:35" s="4" customFormat="1" ht="12">
      <c r="A118" s="12" t="s">
        <v>441</v>
      </c>
      <c r="B118" s="12"/>
      <c r="C118" s="12" t="s">
        <v>51</v>
      </c>
      <c r="D118" s="15"/>
      <c r="E118" s="43">
        <v>725423</v>
      </c>
      <c r="F118" s="43"/>
      <c r="G118" s="43">
        <v>12645</v>
      </c>
      <c r="H118" s="43"/>
      <c r="I118" s="43">
        <v>25889</v>
      </c>
      <c r="J118" s="43"/>
      <c r="K118" s="43">
        <v>0</v>
      </c>
      <c r="L118" s="43"/>
      <c r="M118" s="43">
        <f t="shared" si="31"/>
        <v>-686889</v>
      </c>
      <c r="N118" s="43"/>
      <c r="O118" s="43">
        <v>283227</v>
      </c>
      <c r="P118" s="43"/>
      <c r="Q118" s="43">
        <v>463822</v>
      </c>
      <c r="R118" s="43"/>
      <c r="S118" s="43">
        <v>2319</v>
      </c>
      <c r="T118" s="43"/>
      <c r="U118" s="43">
        <v>1635</v>
      </c>
      <c r="V118" s="43"/>
      <c r="W118" s="43">
        <v>9199</v>
      </c>
      <c r="X118" s="43"/>
      <c r="Y118" s="43">
        <v>0</v>
      </c>
      <c r="Z118" s="43"/>
      <c r="AA118" s="43">
        <v>0</v>
      </c>
      <c r="AB118" s="23"/>
      <c r="AC118" s="23">
        <f t="shared" si="32"/>
        <v>760202</v>
      </c>
      <c r="AD118" s="23"/>
      <c r="AE118" s="23">
        <f t="shared" si="33"/>
        <v>73313</v>
      </c>
      <c r="AF118" s="23"/>
      <c r="AG118" s="42">
        <v>495967</v>
      </c>
      <c r="AH118" s="23"/>
      <c r="AI118" s="23">
        <f t="shared" si="34"/>
        <v>569280</v>
      </c>
    </row>
    <row r="119" spans="1:35" s="4" customFormat="1" ht="12">
      <c r="A119" s="12" t="s">
        <v>619</v>
      </c>
      <c r="B119" s="12"/>
      <c r="C119" s="12" t="s">
        <v>316</v>
      </c>
      <c r="D119" s="15"/>
      <c r="E119" s="43">
        <v>33545416</v>
      </c>
      <c r="F119" s="43"/>
      <c r="G119" s="43">
        <v>855521</v>
      </c>
      <c r="H119" s="43"/>
      <c r="I119" s="43">
        <v>2012789</v>
      </c>
      <c r="J119" s="43"/>
      <c r="K119" s="43">
        <v>0</v>
      </c>
      <c r="L119" s="43"/>
      <c r="M119" s="43">
        <f t="shared" si="31"/>
        <v>-30677106</v>
      </c>
      <c r="N119" s="43"/>
      <c r="O119" s="43">
        <v>14306969</v>
      </c>
      <c r="P119" s="43"/>
      <c r="Q119" s="43">
        <v>18020239</v>
      </c>
      <c r="R119" s="43"/>
      <c r="S119" s="43">
        <v>29214</v>
      </c>
      <c r="T119" s="43"/>
      <c r="U119" s="43">
        <v>25261</v>
      </c>
      <c r="V119" s="43"/>
      <c r="W119" s="43">
        <v>88632</v>
      </c>
      <c r="X119" s="43"/>
      <c r="Y119" s="43">
        <v>0</v>
      </c>
      <c r="Z119" s="43"/>
      <c r="AA119" s="43">
        <v>0</v>
      </c>
      <c r="AB119" s="23"/>
      <c r="AC119" s="23">
        <f t="shared" si="32"/>
        <v>32470315</v>
      </c>
      <c r="AD119" s="23"/>
      <c r="AE119" s="23">
        <f t="shared" si="33"/>
        <v>1793209</v>
      </c>
      <c r="AF119" s="23"/>
      <c r="AG119" s="42">
        <v>93663235</v>
      </c>
      <c r="AH119" s="23"/>
      <c r="AI119" s="23">
        <f t="shared" si="34"/>
        <v>95456444</v>
      </c>
    </row>
    <row r="120" spans="1:35" s="4" customFormat="1" ht="12" hidden="1">
      <c r="A120" s="12" t="s">
        <v>442</v>
      </c>
      <c r="B120" s="12"/>
      <c r="C120" s="12" t="s">
        <v>51</v>
      </c>
      <c r="D120" s="15"/>
      <c r="E120" s="43"/>
      <c r="F120" s="43"/>
      <c r="G120" s="43"/>
      <c r="H120" s="43"/>
      <c r="I120" s="43"/>
      <c r="J120" s="43"/>
      <c r="K120" s="43"/>
      <c r="L120" s="43"/>
      <c r="M120" s="43">
        <f t="shared" si="31"/>
        <v>0</v>
      </c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>
        <v>0</v>
      </c>
      <c r="Z120" s="43"/>
      <c r="AA120" s="43">
        <v>0</v>
      </c>
      <c r="AB120" s="23"/>
      <c r="AC120" s="23">
        <f t="shared" si="32"/>
        <v>0</v>
      </c>
      <c r="AD120" s="23"/>
      <c r="AE120" s="23">
        <f t="shared" si="33"/>
        <v>0</v>
      </c>
      <c r="AF120" s="23"/>
      <c r="AG120" s="42"/>
      <c r="AH120" s="23"/>
      <c r="AI120" s="23">
        <f t="shared" si="34"/>
        <v>0</v>
      </c>
    </row>
    <row r="121" spans="1:35" s="4" customFormat="1" ht="12">
      <c r="A121" s="12" t="s">
        <v>263</v>
      </c>
      <c r="B121" s="12"/>
      <c r="C121" s="12" t="s">
        <v>24</v>
      </c>
      <c r="D121" s="15"/>
      <c r="E121" s="43">
        <v>2072871</v>
      </c>
      <c r="F121" s="43"/>
      <c r="G121" s="43">
        <v>55666</v>
      </c>
      <c r="H121" s="43"/>
      <c r="I121" s="43">
        <v>9547</v>
      </c>
      <c r="J121" s="43"/>
      <c r="K121" s="43">
        <v>0</v>
      </c>
      <c r="L121" s="43"/>
      <c r="M121" s="43">
        <f t="shared" si="31"/>
        <v>-2007658</v>
      </c>
      <c r="N121" s="43"/>
      <c r="O121" s="43">
        <v>515390</v>
      </c>
      <c r="P121" s="43"/>
      <c r="Q121" s="43">
        <v>1407749</v>
      </c>
      <c r="R121" s="43"/>
      <c r="S121" s="43">
        <v>52622</v>
      </c>
      <c r="T121" s="43"/>
      <c r="U121" s="43">
        <v>1687</v>
      </c>
      <c r="V121" s="43"/>
      <c r="W121" s="43">
        <v>1404</v>
      </c>
      <c r="X121" s="43"/>
      <c r="Y121" s="43">
        <v>0</v>
      </c>
      <c r="Z121" s="43"/>
      <c r="AA121" s="43">
        <v>0</v>
      </c>
      <c r="AB121" s="23"/>
      <c r="AC121" s="23">
        <f t="shared" si="32"/>
        <v>1978852</v>
      </c>
      <c r="AD121" s="23"/>
      <c r="AE121" s="23">
        <f t="shared" si="33"/>
        <v>-28806</v>
      </c>
      <c r="AF121" s="23"/>
      <c r="AG121" s="42">
        <v>574336</v>
      </c>
      <c r="AH121" s="23"/>
      <c r="AI121" s="23">
        <f t="shared" si="34"/>
        <v>545530</v>
      </c>
    </row>
    <row r="122" spans="1:35" s="4" customFormat="1" ht="12">
      <c r="A122" s="12" t="s">
        <v>317</v>
      </c>
      <c r="B122" s="12"/>
      <c r="C122" s="12" t="s">
        <v>20</v>
      </c>
      <c r="D122" s="15"/>
      <c r="E122" s="43">
        <v>2743452</v>
      </c>
      <c r="F122" s="43"/>
      <c r="G122" s="43">
        <v>81411</v>
      </c>
      <c r="H122" s="43"/>
      <c r="I122" s="43">
        <v>16560</v>
      </c>
      <c r="J122" s="43"/>
      <c r="K122" s="43">
        <v>4503</v>
      </c>
      <c r="L122" s="43"/>
      <c r="M122" s="43">
        <f t="shared" si="31"/>
        <v>-2640978</v>
      </c>
      <c r="N122" s="43"/>
      <c r="O122" s="43">
        <v>1019116</v>
      </c>
      <c r="P122" s="43"/>
      <c r="Q122" s="4">
        <v>1668666</v>
      </c>
      <c r="R122" s="43"/>
      <c r="S122" s="43">
        <v>561</v>
      </c>
      <c r="T122" s="43"/>
      <c r="U122" s="43">
        <v>1449</v>
      </c>
      <c r="V122" s="43"/>
      <c r="W122" s="43">
        <v>9602</v>
      </c>
      <c r="X122" s="43"/>
      <c r="Y122" s="43">
        <v>0</v>
      </c>
      <c r="Z122" s="43"/>
      <c r="AA122" s="43">
        <v>0</v>
      </c>
      <c r="AB122" s="23"/>
      <c r="AC122" s="23">
        <f t="shared" si="32"/>
        <v>2699394</v>
      </c>
      <c r="AD122" s="23"/>
      <c r="AE122" s="23">
        <f t="shared" si="33"/>
        <v>58416</v>
      </c>
      <c r="AF122" s="23"/>
      <c r="AG122" s="42">
        <v>1353928</v>
      </c>
      <c r="AH122" s="23"/>
      <c r="AI122" s="23">
        <f t="shared" si="34"/>
        <v>1412344</v>
      </c>
    </row>
    <row r="123" spans="1:35" s="4" customFormat="1" ht="12">
      <c r="A123" s="12" t="s">
        <v>342</v>
      </c>
      <c r="B123" s="12"/>
      <c r="C123" s="12" t="s">
        <v>25</v>
      </c>
      <c r="D123" s="15"/>
      <c r="E123" s="43">
        <v>1856574</v>
      </c>
      <c r="F123" s="43"/>
      <c r="G123" s="43">
        <v>72944</v>
      </c>
      <c r="H123" s="43"/>
      <c r="I123" s="43">
        <v>5968</v>
      </c>
      <c r="J123" s="43"/>
      <c r="K123" s="43">
        <v>21900</v>
      </c>
      <c r="L123" s="43"/>
      <c r="M123" s="43">
        <f t="shared" si="31"/>
        <v>-1755762</v>
      </c>
      <c r="N123" s="43"/>
      <c r="O123" s="43">
        <v>1078137</v>
      </c>
      <c r="P123" s="43"/>
      <c r="Q123" s="43">
        <v>1886863</v>
      </c>
      <c r="R123" s="43"/>
      <c r="S123" s="43">
        <v>0</v>
      </c>
      <c r="T123" s="43"/>
      <c r="U123" s="43">
        <v>3067</v>
      </c>
      <c r="V123" s="43"/>
      <c r="W123" s="43">
        <v>4117</v>
      </c>
      <c r="X123" s="43"/>
      <c r="Y123" s="43">
        <v>0</v>
      </c>
      <c r="Z123" s="43"/>
      <c r="AA123" s="43">
        <v>0</v>
      </c>
      <c r="AB123" s="23"/>
      <c r="AC123" s="23">
        <f t="shared" si="32"/>
        <v>2972184</v>
      </c>
      <c r="AD123" s="23"/>
      <c r="AE123" s="23">
        <f t="shared" si="33"/>
        <v>1216422</v>
      </c>
      <c r="AF123" s="23"/>
      <c r="AG123" s="42">
        <v>2319259</v>
      </c>
      <c r="AH123" s="23"/>
      <c r="AI123" s="23">
        <f t="shared" si="34"/>
        <v>3535681</v>
      </c>
    </row>
    <row r="124" spans="1:35" s="4" customFormat="1" ht="12">
      <c r="A124" s="4" t="s">
        <v>268</v>
      </c>
      <c r="C124" s="4" t="s">
        <v>223</v>
      </c>
      <c r="E124" s="43">
        <v>5229940</v>
      </c>
      <c r="F124" s="43"/>
      <c r="G124" s="43">
        <v>168093</v>
      </c>
      <c r="H124" s="43"/>
      <c r="I124" s="43">
        <v>0</v>
      </c>
      <c r="J124" s="43"/>
      <c r="K124" s="43">
        <v>0</v>
      </c>
      <c r="L124" s="43"/>
      <c r="M124" s="43">
        <f t="shared" si="31"/>
        <v>-5061847</v>
      </c>
      <c r="N124" s="43"/>
      <c r="O124" s="43">
        <f>1809751+435689</f>
        <v>2245440</v>
      </c>
      <c r="P124" s="43"/>
      <c r="Q124" s="4">
        <v>3130108</v>
      </c>
      <c r="R124" s="43"/>
      <c r="S124" s="43">
        <v>126554</v>
      </c>
      <c r="T124" s="43"/>
      <c r="U124" s="43">
        <v>17398</v>
      </c>
      <c r="V124" s="43"/>
      <c r="W124" s="43">
        <v>51533</v>
      </c>
      <c r="X124" s="43"/>
      <c r="Y124" s="43">
        <v>0</v>
      </c>
      <c r="Z124" s="43"/>
      <c r="AA124" s="43">
        <v>0</v>
      </c>
      <c r="AC124" s="23">
        <f t="shared" si="32"/>
        <v>5571033</v>
      </c>
      <c r="AE124" s="23">
        <f t="shared" si="33"/>
        <v>509186</v>
      </c>
      <c r="AG124" s="42">
        <v>3729478</v>
      </c>
      <c r="AI124" s="23">
        <f t="shared" si="34"/>
        <v>4238664</v>
      </c>
    </row>
    <row r="125" spans="1:35" s="4" customFormat="1" ht="12" hidden="1">
      <c r="A125" s="15" t="s">
        <v>576</v>
      </c>
      <c r="C125" s="15" t="s">
        <v>63</v>
      </c>
      <c r="E125" s="43"/>
      <c r="F125" s="43"/>
      <c r="G125" s="43"/>
      <c r="H125" s="43"/>
      <c r="I125" s="43"/>
      <c r="J125" s="43"/>
      <c r="K125" s="43"/>
      <c r="L125" s="43"/>
      <c r="M125" s="43">
        <f t="shared" si="31"/>
        <v>0</v>
      </c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>
        <v>0</v>
      </c>
      <c r="Z125" s="43"/>
      <c r="AA125" s="43">
        <v>0</v>
      </c>
      <c r="AC125" s="23">
        <f t="shared" si="32"/>
        <v>0</v>
      </c>
      <c r="AE125" s="23">
        <f t="shared" si="33"/>
        <v>0</v>
      </c>
      <c r="AG125" s="42"/>
      <c r="AI125" s="23">
        <f t="shared" si="34"/>
        <v>0</v>
      </c>
    </row>
    <row r="126" spans="1:35" s="4" customFormat="1" ht="12">
      <c r="A126" s="4" t="s">
        <v>37</v>
      </c>
      <c r="C126" s="4" t="s">
        <v>13</v>
      </c>
      <c r="E126" s="73">
        <v>1372173.02</v>
      </c>
      <c r="F126" s="73"/>
      <c r="G126" s="73">
        <v>28549.66</v>
      </c>
      <c r="H126" s="73"/>
      <c r="I126" s="73">
        <v>0</v>
      </c>
      <c r="J126" s="73"/>
      <c r="K126" s="73">
        <v>0</v>
      </c>
      <c r="L126" s="73"/>
      <c r="M126" s="73">
        <v>-1343623.36</v>
      </c>
      <c r="N126" s="73"/>
      <c r="O126" s="73">
        <v>783133.43</v>
      </c>
      <c r="P126" s="73"/>
      <c r="Q126" s="73">
        <v>718840.31999999995</v>
      </c>
      <c r="R126" s="73"/>
      <c r="S126" s="73">
        <v>0</v>
      </c>
      <c r="T126" s="73"/>
      <c r="U126" s="73">
        <v>3780.42</v>
      </c>
      <c r="V126" s="73"/>
      <c r="W126" s="73">
        <v>24500.26</v>
      </c>
      <c r="X126" s="73"/>
      <c r="Y126" s="73">
        <v>0</v>
      </c>
      <c r="Z126" s="73"/>
      <c r="AA126" s="73">
        <v>0</v>
      </c>
      <c r="AB126" s="73"/>
      <c r="AC126" s="23">
        <f t="shared" si="32"/>
        <v>1530254.43</v>
      </c>
      <c r="AD126" s="73"/>
      <c r="AE126" s="73">
        <v>186631.07</v>
      </c>
      <c r="AF126" s="73"/>
      <c r="AG126" s="73">
        <v>2669869.2999999998</v>
      </c>
      <c r="AH126" s="73"/>
      <c r="AI126" s="73">
        <v>2856500.37</v>
      </c>
    </row>
    <row r="127" spans="1:35" s="4" customFormat="1" ht="12">
      <c r="A127" s="12" t="s">
        <v>274</v>
      </c>
      <c r="B127" s="12"/>
      <c r="C127" s="12" t="s">
        <v>13</v>
      </c>
      <c r="D127" s="15"/>
      <c r="E127" s="43">
        <v>4560873</v>
      </c>
      <c r="F127" s="43"/>
      <c r="G127" s="43">
        <v>116872</v>
      </c>
      <c r="H127" s="43"/>
      <c r="I127" s="43">
        <v>611</v>
      </c>
      <c r="J127" s="43"/>
      <c r="K127" s="43">
        <v>0</v>
      </c>
      <c r="L127" s="43"/>
      <c r="M127" s="43">
        <f t="shared" si="31"/>
        <v>-4443390</v>
      </c>
      <c r="N127" s="43"/>
      <c r="O127" s="43">
        <v>3249228</v>
      </c>
      <c r="P127" s="43"/>
      <c r="Q127" s="43">
        <v>534171</v>
      </c>
      <c r="R127" s="43"/>
      <c r="S127" s="43">
        <v>3351</v>
      </c>
      <c r="T127" s="43"/>
      <c r="U127" s="43">
        <v>10522</v>
      </c>
      <c r="V127" s="43"/>
      <c r="W127" s="43">
        <f>1779339+73257</f>
        <v>1852596</v>
      </c>
      <c r="X127" s="43"/>
      <c r="Y127" s="43">
        <v>0</v>
      </c>
      <c r="Z127" s="43"/>
      <c r="AA127" s="43">
        <v>0</v>
      </c>
      <c r="AB127" s="23"/>
      <c r="AC127" s="23">
        <f t="shared" si="32"/>
        <v>5649868</v>
      </c>
      <c r="AD127" s="23"/>
      <c r="AE127" s="23">
        <f>AC127+M127</f>
        <v>1206478</v>
      </c>
      <c r="AF127" s="23"/>
      <c r="AG127" s="42">
        <v>3205638</v>
      </c>
      <c r="AH127" s="23"/>
      <c r="AI127" s="23">
        <f t="shared" si="34"/>
        <v>4412116</v>
      </c>
    </row>
    <row r="128" spans="1:35" s="4" customFormat="1" ht="12" hidden="1">
      <c r="A128" s="4" t="s">
        <v>394</v>
      </c>
      <c r="C128" s="4" t="s">
        <v>67</v>
      </c>
      <c r="E128" s="43"/>
      <c r="F128" s="43"/>
      <c r="G128" s="43"/>
      <c r="H128" s="43"/>
      <c r="I128" s="43"/>
      <c r="J128" s="43"/>
      <c r="K128" s="43"/>
      <c r="L128" s="43"/>
      <c r="M128" s="43">
        <f t="shared" si="31"/>
        <v>0</v>
      </c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>
        <v>0</v>
      </c>
      <c r="Z128" s="43"/>
      <c r="AA128" s="43">
        <v>0</v>
      </c>
      <c r="AC128" s="23">
        <f t="shared" si="32"/>
        <v>0</v>
      </c>
      <c r="AE128" s="23">
        <f>AC128+M128</f>
        <v>0</v>
      </c>
      <c r="AG128" s="42"/>
      <c r="AI128" s="23">
        <f t="shared" si="34"/>
        <v>0</v>
      </c>
    </row>
    <row r="129" spans="1:35" s="4" customFormat="1" ht="12">
      <c r="A129" s="12" t="s">
        <v>620</v>
      </c>
      <c r="B129" s="12"/>
      <c r="C129" s="12" t="s">
        <v>90</v>
      </c>
      <c r="D129" s="15"/>
      <c r="E129" s="43">
        <v>8788527</v>
      </c>
      <c r="F129" s="43"/>
      <c r="G129" s="43">
        <v>1277288</v>
      </c>
      <c r="H129" s="43"/>
      <c r="I129" s="43">
        <v>32079</v>
      </c>
      <c r="J129" s="43"/>
      <c r="K129" s="43">
        <v>0</v>
      </c>
      <c r="L129" s="43"/>
      <c r="M129" s="43">
        <f>-E129+G129+I129+K129</f>
        <v>-7479160</v>
      </c>
      <c r="N129" s="43"/>
      <c r="O129" s="43">
        <v>6071068</v>
      </c>
      <c r="P129" s="43"/>
      <c r="Q129" s="43">
        <v>2916271</v>
      </c>
      <c r="R129" s="43"/>
      <c r="S129" s="43">
        <v>8062</v>
      </c>
      <c r="T129" s="43"/>
      <c r="U129" s="43">
        <v>9405</v>
      </c>
      <c r="V129" s="43"/>
      <c r="W129" s="43">
        <v>10689</v>
      </c>
      <c r="X129" s="43"/>
      <c r="Y129" s="43">
        <v>0</v>
      </c>
      <c r="Z129" s="43"/>
      <c r="AA129" s="43">
        <v>0</v>
      </c>
      <c r="AB129" s="23"/>
      <c r="AC129" s="23">
        <f t="shared" si="32"/>
        <v>9015495</v>
      </c>
      <c r="AD129" s="23"/>
      <c r="AE129" s="23">
        <f>AC129+M129</f>
        <v>1536335</v>
      </c>
      <c r="AF129" s="23"/>
      <c r="AG129" s="42">
        <v>24737517</v>
      </c>
      <c r="AH129" s="23"/>
      <c r="AI129" s="23">
        <f>AE129+AG129</f>
        <v>26273852</v>
      </c>
    </row>
    <row r="130" spans="1:35" s="4" customFormat="1" ht="12">
      <c r="A130" s="15" t="s">
        <v>278</v>
      </c>
      <c r="B130" s="15"/>
      <c r="C130" s="15" t="s">
        <v>53</v>
      </c>
      <c r="D130" s="15"/>
      <c r="E130" s="73">
        <v>1455116.4</v>
      </c>
      <c r="F130" s="73"/>
      <c r="G130" s="73">
        <v>33477.65</v>
      </c>
      <c r="H130" s="73"/>
      <c r="I130" s="73">
        <v>336.91</v>
      </c>
      <c r="J130" s="73"/>
      <c r="K130" s="73">
        <v>2750.09</v>
      </c>
      <c r="L130" s="73"/>
      <c r="M130" s="73">
        <v>-1418551.75</v>
      </c>
      <c r="N130" s="73"/>
      <c r="O130" s="73">
        <v>391465.99</v>
      </c>
      <c r="P130" s="73"/>
      <c r="Q130" s="73">
        <v>1202346.23</v>
      </c>
      <c r="R130" s="73"/>
      <c r="S130" s="73">
        <v>0</v>
      </c>
      <c r="T130" s="73"/>
      <c r="U130" s="73">
        <v>1809.83</v>
      </c>
      <c r="V130" s="73"/>
      <c r="W130" s="73">
        <v>13937.41</v>
      </c>
      <c r="X130" s="73"/>
      <c r="Y130" s="73">
        <v>0</v>
      </c>
      <c r="Z130" s="73"/>
      <c r="AA130" s="73">
        <v>0</v>
      </c>
      <c r="AB130" s="73"/>
      <c r="AC130" s="73">
        <f t="shared" ref="AC130" si="35">SUM(O130:AA130)</f>
        <v>1609559.46</v>
      </c>
      <c r="AD130" s="73"/>
      <c r="AE130" s="73">
        <v>191007.71</v>
      </c>
      <c r="AF130" s="73"/>
      <c r="AG130" s="73">
        <v>1398881.74</v>
      </c>
      <c r="AH130" s="73"/>
      <c r="AI130" s="73">
        <v>1589889.45</v>
      </c>
    </row>
    <row r="131" spans="1:35" ht="12" customHeight="1">
      <c r="A131" s="3"/>
      <c r="B131" s="12"/>
      <c r="C131" s="3"/>
      <c r="D131" s="15"/>
      <c r="E131" s="17"/>
      <c r="F131" s="23"/>
      <c r="G131" s="17"/>
      <c r="H131" s="23"/>
      <c r="I131" s="17"/>
      <c r="J131" s="23"/>
      <c r="K131" s="17"/>
      <c r="L131" s="23"/>
      <c r="N131" s="23"/>
      <c r="O131" s="17"/>
      <c r="P131" s="17"/>
      <c r="Q131" s="23"/>
      <c r="R131" s="23"/>
      <c r="S131" s="17"/>
      <c r="T131" s="23"/>
      <c r="U131" s="17"/>
      <c r="V131" s="23"/>
      <c r="W131" s="17"/>
      <c r="X131" s="23"/>
      <c r="Y131" s="17"/>
      <c r="Z131" s="23"/>
      <c r="AA131" s="17"/>
      <c r="AB131" s="23"/>
      <c r="AC131" s="23"/>
      <c r="AD131" s="23"/>
      <c r="AE131" s="23"/>
      <c r="AF131" s="23"/>
      <c r="AG131" s="17"/>
      <c r="AH131" s="23"/>
      <c r="AI131" s="23"/>
    </row>
    <row r="132" spans="1:35" s="4" customFormat="1" ht="12">
      <c r="A132" s="15" t="s">
        <v>622</v>
      </c>
      <c r="B132" s="12"/>
      <c r="C132" s="15"/>
      <c r="D132" s="15"/>
      <c r="E132" s="17"/>
      <c r="F132" s="23"/>
      <c r="G132" s="17"/>
      <c r="H132" s="23"/>
      <c r="I132" s="17"/>
      <c r="J132" s="23"/>
      <c r="K132" s="17"/>
      <c r="L132" s="23"/>
      <c r="M132" s="23"/>
      <c r="N132" s="23"/>
      <c r="O132" s="17"/>
      <c r="P132" s="17"/>
      <c r="Q132" s="23"/>
      <c r="R132" s="23"/>
      <c r="S132" s="17"/>
      <c r="T132" s="23"/>
      <c r="U132" s="17"/>
      <c r="V132" s="23"/>
      <c r="W132" s="17"/>
      <c r="X132" s="23"/>
      <c r="Y132" s="17"/>
      <c r="Z132" s="23"/>
      <c r="AA132" s="17"/>
      <c r="AB132" s="23"/>
      <c r="AC132" s="23"/>
      <c r="AD132" s="23"/>
      <c r="AE132" s="23"/>
      <c r="AF132" s="23"/>
      <c r="AG132" s="17"/>
      <c r="AH132" s="23"/>
      <c r="AI132" s="23"/>
    </row>
    <row r="133" spans="1:35" s="4" customFormat="1" ht="12">
      <c r="A133" s="3"/>
      <c r="B133" s="12"/>
      <c r="C133" s="3"/>
      <c r="D133" s="15"/>
      <c r="E133" s="17"/>
      <c r="F133" s="23"/>
      <c r="G133" s="17"/>
      <c r="H133" s="23"/>
      <c r="I133" s="17"/>
      <c r="J133" s="23"/>
      <c r="K133" s="17"/>
      <c r="L133" s="23"/>
      <c r="M133" s="23"/>
      <c r="N133" s="23"/>
      <c r="O133" s="17"/>
      <c r="P133" s="17"/>
      <c r="Q133" s="23"/>
      <c r="R133" s="23"/>
      <c r="S133" s="17"/>
      <c r="T133" s="23"/>
      <c r="U133" s="17"/>
      <c r="V133" s="23"/>
      <c r="W133" s="17"/>
      <c r="X133" s="23"/>
      <c r="Y133" s="17"/>
      <c r="Z133" s="23"/>
      <c r="AA133" s="17"/>
      <c r="AB133" s="23"/>
      <c r="AC133" s="23"/>
      <c r="AD133" s="23"/>
      <c r="AE133" s="23"/>
      <c r="AF133" s="23"/>
      <c r="AG133" s="17"/>
      <c r="AH133" s="23"/>
      <c r="AI133" s="23"/>
    </row>
    <row r="134" spans="1:35" s="4" customFormat="1" ht="12">
      <c r="M134" s="23">
        <f t="shared" ref="M134" si="36">+E134-G134-I134-K234:K234</f>
        <v>0</v>
      </c>
      <c r="AC134" s="23">
        <f t="shared" ref="AC134" si="37">SUM(O134:AA134)</f>
        <v>0</v>
      </c>
      <c r="AE134" s="23">
        <f>+M134-AC134</f>
        <v>0</v>
      </c>
      <c r="AI134" s="23">
        <f t="shared" ref="AI134" si="38">+AG134-AE134</f>
        <v>0</v>
      </c>
    </row>
    <row r="135" spans="1:35" s="62" customFormat="1"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23"/>
      <c r="AD135" s="63"/>
      <c r="AE135" s="63"/>
      <c r="AF135" s="63"/>
      <c r="AG135" s="63"/>
      <c r="AH135" s="63"/>
      <c r="AI135" s="63"/>
    </row>
  </sheetData>
  <sortState ref="A14:AK103">
    <sortCondition ref="A14:A103"/>
  </sortState>
  <mergeCells count="6">
    <mergeCell ref="A103:E103"/>
    <mergeCell ref="G109:K109"/>
    <mergeCell ref="O109:W109"/>
    <mergeCell ref="A1:E1"/>
    <mergeCell ref="G7:K7"/>
    <mergeCell ref="O7:W7"/>
  </mergeCells>
  <phoneticPr fontId="1" type="noConversion"/>
  <printOptions horizontalCentered="1"/>
  <pageMargins left="0.75" right="0.75" top="0.5" bottom="0.5" header="0" footer="0.3"/>
  <pageSetup scale="74" firstPageNumber="4" fitToWidth="0" fitToHeight="0" pageOrder="overThenDown" orientation="portrait" useFirstPageNumber="1" r:id="rId1"/>
  <headerFooter scaleWithDoc="0" alignWithMargins="0">
    <oddFooter>&amp;C&amp;"Times New Roman,Regular"&amp;11&amp;P</oddFooter>
  </headerFooter>
  <rowBreaks count="1" manualBreakCount="1">
    <brk id="102" max="36" man="1"/>
  </rowBreaks>
  <colBreaks count="1" manualBreakCount="1">
    <brk id="16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318"/>
  <sheetViews>
    <sheetView view="pageBreakPreview" zoomScaleNormal="100" zoomScaleSheetLayoutView="100" workbookViewId="0">
      <pane xSplit="5" ySplit="18" topLeftCell="F19" activePane="bottomRight" state="frozen"/>
      <selection activeCell="H97" sqref="H97"/>
      <selection pane="topRight" activeCell="H97" sqref="H97"/>
      <selection pane="bottomLeft" activeCell="H97" sqref="H97"/>
      <selection pane="bottomRight" activeCell="H97" sqref="H97"/>
    </sheetView>
  </sheetViews>
  <sheetFormatPr defaultColWidth="9.140625" defaultRowHeight="12"/>
  <cols>
    <col min="1" max="1" width="11.85546875" style="3" hidden="1" customWidth="1"/>
    <col min="2" max="2" width="35.28515625" style="3" customWidth="1"/>
    <col min="3" max="3" width="1.28515625" style="3" customWidth="1"/>
    <col min="4" max="4" width="10.28515625" style="3" customWidth="1"/>
    <col min="5" max="5" width="1.28515625" style="3" customWidth="1"/>
    <col min="6" max="6" width="12.7109375" style="3" customWidth="1"/>
    <col min="7" max="7" width="1.28515625" style="3" customWidth="1"/>
    <col min="8" max="8" width="12.7109375" style="3" customWidth="1"/>
    <col min="9" max="9" width="1.28515625" style="3" customWidth="1"/>
    <col min="10" max="10" width="11.42578125" style="3" customWidth="1"/>
    <col min="11" max="11" width="1.28515625" style="3" customWidth="1"/>
    <col min="12" max="12" width="11.7109375" style="3" customWidth="1"/>
    <col min="13" max="13" width="1.28515625" style="3" customWidth="1"/>
    <col min="14" max="14" width="10.140625" style="3" customWidth="1"/>
    <col min="15" max="15" width="1.28515625" style="3" hidden="1" customWidth="1"/>
    <col min="16" max="16" width="10" style="3" customWidth="1"/>
    <col min="17" max="17" width="1.28515625" style="3" customWidth="1"/>
    <col min="18" max="18" width="11.1406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140625" style="3" customWidth="1"/>
    <col min="23" max="23" width="1.28515625" style="3" customWidth="1"/>
    <col min="24" max="24" width="9.85546875" style="3" customWidth="1"/>
    <col min="25" max="25" width="1.28515625" style="3" customWidth="1"/>
    <col min="26" max="26" width="9.85546875" style="3" customWidth="1"/>
    <col min="27" max="27" width="1.28515625" style="3" customWidth="1"/>
    <col min="28" max="28" width="10" style="3" customWidth="1"/>
    <col min="29" max="29" width="1.28515625" style="3" customWidth="1"/>
    <col min="30" max="30" width="9.85546875" style="3" customWidth="1"/>
    <col min="31" max="31" width="1.28515625" style="3" customWidth="1"/>
    <col min="32" max="32" width="9.85546875" style="3" customWidth="1"/>
    <col min="33" max="33" width="1.28515625" style="3" customWidth="1"/>
    <col min="34" max="34" width="10.5703125" style="3" customWidth="1"/>
    <col min="35" max="16384" width="9.140625" style="3"/>
  </cols>
  <sheetData>
    <row r="1" spans="1:65">
      <c r="B1" s="3" t="s">
        <v>516</v>
      </c>
    </row>
    <row r="2" spans="1:65">
      <c r="B2" s="3" t="s">
        <v>626</v>
      </c>
    </row>
    <row r="3" spans="1:65" hidden="1">
      <c r="B3" s="41" t="s">
        <v>5</v>
      </c>
      <c r="F3" s="3">
        <v>0</v>
      </c>
      <c r="H3" s="3">
        <v>0</v>
      </c>
      <c r="J3" s="3">
        <v>0</v>
      </c>
      <c r="L3" s="3">
        <v>0</v>
      </c>
      <c r="N3" s="3">
        <v>0</v>
      </c>
      <c r="P3" s="3">
        <v>0</v>
      </c>
      <c r="R3" s="3">
        <v>0</v>
      </c>
      <c r="T3" s="3">
        <v>0</v>
      </c>
      <c r="V3" s="3">
        <v>0</v>
      </c>
      <c r="X3" s="3">
        <v>0</v>
      </c>
      <c r="Z3" s="3">
        <v>0</v>
      </c>
      <c r="AB3" s="3">
        <v>0</v>
      </c>
      <c r="AD3" s="3">
        <v>0</v>
      </c>
      <c r="AF3" s="3">
        <v>0</v>
      </c>
    </row>
    <row r="4" spans="1:65" s="36" customFormat="1">
      <c r="H4" s="36" t="s">
        <v>280</v>
      </c>
    </row>
    <row r="5" spans="1:65" s="36" customFormat="1">
      <c r="F5" s="36" t="s">
        <v>29</v>
      </c>
      <c r="H5" s="36" t="s">
        <v>281</v>
      </c>
      <c r="P5" s="36" t="s">
        <v>27</v>
      </c>
      <c r="R5" s="36" t="s">
        <v>287</v>
      </c>
      <c r="X5" s="36" t="s">
        <v>292</v>
      </c>
      <c r="AD5" s="36" t="s">
        <v>0</v>
      </c>
    </row>
    <row r="6" spans="1:65" s="36" customFormat="1" ht="12" customHeight="1">
      <c r="F6" s="36" t="s">
        <v>0</v>
      </c>
      <c r="H6" s="36" t="s">
        <v>282</v>
      </c>
      <c r="J6" s="36" t="s">
        <v>344</v>
      </c>
      <c r="L6" s="36" t="s">
        <v>284</v>
      </c>
      <c r="P6" s="36" t="s">
        <v>286</v>
      </c>
      <c r="R6" s="36" t="s">
        <v>288</v>
      </c>
      <c r="T6" s="36" t="s">
        <v>290</v>
      </c>
      <c r="X6" s="36" t="s">
        <v>293</v>
      </c>
      <c r="AD6" s="36" t="s">
        <v>294</v>
      </c>
      <c r="AF6" s="36" t="s">
        <v>552</v>
      </c>
    </row>
    <row r="7" spans="1:65" s="36" customFormat="1" ht="12" customHeight="1">
      <c r="A7" s="36" t="s">
        <v>567</v>
      </c>
      <c r="B7" s="37" t="s">
        <v>3</v>
      </c>
      <c r="D7" s="37" t="s">
        <v>4</v>
      </c>
      <c r="F7" s="37" t="s">
        <v>279</v>
      </c>
      <c r="H7" s="37" t="s">
        <v>283</v>
      </c>
      <c r="I7" s="44"/>
      <c r="J7" s="37" t="s">
        <v>345</v>
      </c>
      <c r="L7" s="37" t="s">
        <v>285</v>
      </c>
      <c r="N7" s="37" t="s">
        <v>549</v>
      </c>
      <c r="P7" s="37" t="s">
        <v>551</v>
      </c>
      <c r="R7" s="37" t="s">
        <v>289</v>
      </c>
      <c r="T7" s="37" t="s">
        <v>291</v>
      </c>
      <c r="V7" s="37" t="s">
        <v>1</v>
      </c>
      <c r="X7" s="37" t="s">
        <v>30</v>
      </c>
      <c r="Z7" s="37" t="s">
        <v>502</v>
      </c>
      <c r="AB7" s="37" t="s">
        <v>503</v>
      </c>
      <c r="AD7" s="37" t="s">
        <v>295</v>
      </c>
      <c r="AF7" s="37" t="s">
        <v>418</v>
      </c>
      <c r="AH7" s="45" t="s">
        <v>26</v>
      </c>
    </row>
    <row r="8" spans="1:65" s="4" customFormat="1" hidden="1">
      <c r="A8" s="4">
        <v>2</v>
      </c>
      <c r="B8" s="4" t="s">
        <v>428</v>
      </c>
      <c r="D8" s="4" t="s">
        <v>95</v>
      </c>
      <c r="F8" s="35"/>
      <c r="H8" s="35"/>
      <c r="I8" s="35"/>
      <c r="J8" s="35"/>
      <c r="L8" s="35"/>
      <c r="N8" s="35"/>
      <c r="P8" s="35"/>
      <c r="R8" s="35"/>
      <c r="T8" s="35"/>
      <c r="V8" s="35"/>
      <c r="X8" s="35"/>
      <c r="Z8" s="35"/>
      <c r="AB8" s="35"/>
      <c r="AD8" s="35"/>
      <c r="AF8" s="35"/>
      <c r="AH8" s="4">
        <f t="shared" ref="AH8:AH18" si="0">SUM(F8:AD8)</f>
        <v>0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s="4" customFormat="1" hidden="1">
      <c r="A9" s="4">
        <v>75</v>
      </c>
      <c r="B9" s="4" t="s">
        <v>429</v>
      </c>
      <c r="D9" s="4" t="s">
        <v>90</v>
      </c>
      <c r="AH9" s="4">
        <f t="shared" si="0"/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s="4" customFormat="1" hidden="1">
      <c r="A10" s="4">
        <v>80</v>
      </c>
      <c r="B10" s="4" t="s">
        <v>265</v>
      </c>
      <c r="D10" s="4" t="s">
        <v>90</v>
      </c>
      <c r="AH10" s="4">
        <f t="shared" si="0"/>
        <v>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s="7" customFormat="1" hidden="1">
      <c r="A11" s="4">
        <v>117</v>
      </c>
      <c r="B11" s="4" t="s">
        <v>309</v>
      </c>
      <c r="C11" s="4"/>
      <c r="D11" s="4" t="s">
        <v>168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 t="shared" si="0"/>
        <v>0</v>
      </c>
    </row>
    <row r="12" spans="1:65" s="4" customFormat="1" hidden="1">
      <c r="A12" s="4">
        <v>135</v>
      </c>
      <c r="B12" s="4" t="s">
        <v>435</v>
      </c>
      <c r="D12" s="4" t="s">
        <v>39</v>
      </c>
      <c r="AH12" s="4">
        <f t="shared" si="0"/>
        <v>0</v>
      </c>
    </row>
    <row r="13" spans="1:65" s="4" customFormat="1" hidden="1">
      <c r="A13" s="4">
        <v>152</v>
      </c>
      <c r="B13" s="4" t="s">
        <v>212</v>
      </c>
      <c r="D13" s="4" t="s">
        <v>213</v>
      </c>
      <c r="AH13" s="4">
        <f t="shared" si="0"/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s="28" customFormat="1" hidden="1">
      <c r="A14" s="4">
        <v>180</v>
      </c>
      <c r="B14" s="4" t="s">
        <v>251</v>
      </c>
      <c r="C14" s="4"/>
      <c r="D14" s="4" t="s">
        <v>104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s="4" customFormat="1" hidden="1">
      <c r="A15" s="4">
        <v>185</v>
      </c>
      <c r="B15" s="4" t="s">
        <v>228</v>
      </c>
      <c r="D15" s="4" t="s">
        <v>227</v>
      </c>
      <c r="AH15" s="4">
        <f t="shared" si="0"/>
        <v>0</v>
      </c>
    </row>
    <row r="16" spans="1:65" s="28" customFormat="1" hidden="1">
      <c r="A16" s="4">
        <v>189</v>
      </c>
      <c r="B16" s="4" t="s">
        <v>443</v>
      </c>
      <c r="C16" s="4"/>
      <c r="D16" s="4" t="s">
        <v>234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 t="shared" si="0"/>
        <v>0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s="4" customFormat="1" hidden="1">
      <c r="A17" s="4">
        <v>233</v>
      </c>
      <c r="B17" s="4" t="s">
        <v>33</v>
      </c>
      <c r="D17" s="4" t="s">
        <v>24</v>
      </c>
      <c r="AH17" s="4">
        <f t="shared" si="0"/>
        <v>0</v>
      </c>
    </row>
    <row r="18" spans="1:65" s="4" customFormat="1" hidden="1">
      <c r="A18" s="4">
        <v>234</v>
      </c>
      <c r="B18" s="4" t="s">
        <v>199</v>
      </c>
      <c r="D18" s="4" t="s">
        <v>24</v>
      </c>
      <c r="AH18" s="4">
        <f t="shared" si="0"/>
        <v>0</v>
      </c>
    </row>
    <row r="19" spans="1:65" s="4" customFormat="1">
      <c r="A19" s="4">
        <v>251</v>
      </c>
      <c r="B19" s="38" t="s">
        <v>71</v>
      </c>
      <c r="C19" s="38"/>
      <c r="D19" s="38" t="s">
        <v>566</v>
      </c>
      <c r="E19" s="38"/>
      <c r="F19" s="75">
        <v>0</v>
      </c>
      <c r="G19" s="75"/>
      <c r="H19" s="75">
        <v>234215.67999999999</v>
      </c>
      <c r="I19" s="75"/>
      <c r="J19" s="75">
        <v>0</v>
      </c>
      <c r="K19" s="75"/>
      <c r="L19" s="75">
        <v>7066.33</v>
      </c>
      <c r="M19" s="75"/>
      <c r="N19" s="75">
        <v>0</v>
      </c>
      <c r="O19" s="75"/>
      <c r="P19" s="75">
        <v>0</v>
      </c>
      <c r="Q19" s="75"/>
      <c r="R19" s="75">
        <v>2375.5500000000002</v>
      </c>
      <c r="S19" s="75"/>
      <c r="T19" s="75">
        <v>153.87</v>
      </c>
      <c r="U19" s="75"/>
      <c r="V19" s="75">
        <v>0</v>
      </c>
      <c r="W19" s="75"/>
      <c r="X19" s="75">
        <v>0</v>
      </c>
      <c r="Y19" s="75"/>
      <c r="Z19" s="75">
        <v>0</v>
      </c>
      <c r="AA19" s="75"/>
      <c r="AB19" s="75">
        <v>0</v>
      </c>
      <c r="AC19" s="75"/>
      <c r="AD19" s="75">
        <v>0</v>
      </c>
      <c r="AE19" s="75"/>
      <c r="AF19" s="75">
        <v>0</v>
      </c>
      <c r="AG19" s="75"/>
      <c r="AH19" s="75">
        <f>SUM(F19:AF19)</f>
        <v>243811.42999999996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s="4" customFormat="1">
      <c r="A20" s="4">
        <v>195</v>
      </c>
      <c r="B20" s="35" t="s">
        <v>72</v>
      </c>
      <c r="C20" s="35"/>
      <c r="D20" s="35" t="s">
        <v>38</v>
      </c>
      <c r="E20" s="35"/>
      <c r="F20" s="6">
        <v>0</v>
      </c>
      <c r="G20" s="6"/>
      <c r="H20" s="6">
        <v>800375.15</v>
      </c>
      <c r="I20" s="6"/>
      <c r="J20" s="6">
        <v>0</v>
      </c>
      <c r="K20" s="6"/>
      <c r="L20" s="6">
        <v>24598.97</v>
      </c>
      <c r="M20" s="6"/>
      <c r="N20" s="6">
        <v>0</v>
      </c>
      <c r="O20" s="6"/>
      <c r="P20" s="6">
        <v>0</v>
      </c>
      <c r="Q20" s="6"/>
      <c r="R20" s="6">
        <v>678.99</v>
      </c>
      <c r="S20" s="6"/>
      <c r="T20" s="6">
        <v>28067.75</v>
      </c>
      <c r="U20" s="6"/>
      <c r="V20" s="6">
        <v>466.92</v>
      </c>
      <c r="W20" s="6"/>
      <c r="X20" s="6">
        <v>0</v>
      </c>
      <c r="Y20" s="6"/>
      <c r="Z20" s="6">
        <v>0</v>
      </c>
      <c r="AA20" s="6"/>
      <c r="AB20" s="6">
        <v>0</v>
      </c>
      <c r="AC20" s="6"/>
      <c r="AD20" s="6">
        <v>0</v>
      </c>
      <c r="AE20" s="6"/>
      <c r="AF20" s="6">
        <v>0</v>
      </c>
      <c r="AG20" s="6"/>
      <c r="AH20" s="6">
        <f>SUM(F20:AF20)</f>
        <v>854187.78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s="4" customFormat="1">
      <c r="A21" s="4">
        <v>118</v>
      </c>
      <c r="B21" s="42" t="s">
        <v>427</v>
      </c>
      <c r="C21" s="42"/>
      <c r="D21" s="42" t="s">
        <v>20</v>
      </c>
      <c r="E21" s="42"/>
      <c r="F21" s="67">
        <v>10738861</v>
      </c>
      <c r="G21" s="67"/>
      <c r="H21" s="67">
        <v>0</v>
      </c>
      <c r="I21" s="67"/>
      <c r="J21" s="67">
        <v>13133970</v>
      </c>
      <c r="K21" s="67"/>
      <c r="L21" s="67">
        <v>592591</v>
      </c>
      <c r="M21" s="67"/>
      <c r="N21" s="67">
        <v>0</v>
      </c>
      <c r="O21" s="67"/>
      <c r="P21" s="67">
        <v>0</v>
      </c>
      <c r="Q21" s="67"/>
      <c r="R21" s="67">
        <v>6907</v>
      </c>
      <c r="S21" s="67"/>
      <c r="T21" s="67">
        <v>19827</v>
      </c>
      <c r="U21" s="67"/>
      <c r="V21" s="67">
        <v>235380</v>
      </c>
      <c r="W21" s="67"/>
      <c r="X21" s="67">
        <v>0</v>
      </c>
      <c r="Y21" s="67"/>
      <c r="Z21" s="67">
        <v>0</v>
      </c>
      <c r="AA21" s="67"/>
      <c r="AB21" s="67">
        <v>27800</v>
      </c>
      <c r="AC21" s="67"/>
      <c r="AD21" s="67">
        <v>0</v>
      </c>
      <c r="AE21" s="67"/>
      <c r="AF21" s="67">
        <v>0</v>
      </c>
      <c r="AG21" s="15"/>
      <c r="AH21" s="4">
        <f t="shared" ref="AH21:AH83" si="1">SUM(F21:AF21)</f>
        <v>24755336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s="4" customFormat="1">
      <c r="A22" s="4">
        <v>98</v>
      </c>
      <c r="B22" s="4" t="s">
        <v>69</v>
      </c>
      <c r="D22" s="35" t="s">
        <v>39</v>
      </c>
      <c r="F22" s="6">
        <v>0</v>
      </c>
      <c r="G22" s="6"/>
      <c r="H22" s="6">
        <v>254928.77</v>
      </c>
      <c r="I22" s="6"/>
      <c r="J22" s="6">
        <v>3422</v>
      </c>
      <c r="K22" s="6"/>
      <c r="L22" s="6">
        <v>5142.42</v>
      </c>
      <c r="M22" s="6"/>
      <c r="N22" s="6">
        <v>0</v>
      </c>
      <c r="O22" s="6"/>
      <c r="P22" s="6">
        <v>0</v>
      </c>
      <c r="Q22" s="6"/>
      <c r="R22" s="6">
        <v>655.5</v>
      </c>
      <c r="S22" s="6"/>
      <c r="T22" s="6">
        <v>335.89</v>
      </c>
      <c r="U22" s="6"/>
      <c r="V22" s="6">
        <v>994.85</v>
      </c>
      <c r="W22" s="6"/>
      <c r="X22" s="6">
        <v>1311.67</v>
      </c>
      <c r="Y22" s="6"/>
      <c r="Z22" s="6">
        <v>0</v>
      </c>
      <c r="AA22" s="6"/>
      <c r="AB22" s="6">
        <v>0</v>
      </c>
      <c r="AC22" s="6"/>
      <c r="AD22" s="6">
        <v>0</v>
      </c>
      <c r="AE22" s="6"/>
      <c r="AF22" s="6">
        <v>0</v>
      </c>
      <c r="AG22" s="6"/>
      <c r="AH22" s="6">
        <f>SUM(F22:AF22)</f>
        <v>266791.09999999998</v>
      </c>
    </row>
    <row r="23" spans="1:65" s="4" customFormat="1">
      <c r="A23" s="4">
        <v>138</v>
      </c>
      <c r="B23" s="35" t="s">
        <v>73</v>
      </c>
      <c r="C23" s="35"/>
      <c r="D23" s="35" t="s">
        <v>59</v>
      </c>
      <c r="E23" s="35"/>
      <c r="F23" s="6">
        <v>0</v>
      </c>
      <c r="G23" s="6"/>
      <c r="H23" s="6">
        <v>56119.34</v>
      </c>
      <c r="I23" s="6"/>
      <c r="J23" s="6">
        <v>551.25</v>
      </c>
      <c r="K23" s="6"/>
      <c r="L23" s="6">
        <v>1600.95</v>
      </c>
      <c r="M23" s="6"/>
      <c r="N23" s="6">
        <v>0</v>
      </c>
      <c r="O23" s="6"/>
      <c r="P23" s="6">
        <v>0</v>
      </c>
      <c r="Q23" s="6"/>
      <c r="R23" s="6">
        <v>670</v>
      </c>
      <c r="S23" s="6"/>
      <c r="T23" s="6">
        <v>36.43</v>
      </c>
      <c r="U23" s="6"/>
      <c r="V23" s="6">
        <v>2247.4699999999998</v>
      </c>
      <c r="W23" s="6"/>
      <c r="X23" s="6">
        <v>0</v>
      </c>
      <c r="Y23" s="6"/>
      <c r="Z23" s="6">
        <v>0</v>
      </c>
      <c r="AA23" s="6"/>
      <c r="AB23" s="6">
        <v>0</v>
      </c>
      <c r="AC23" s="6"/>
      <c r="AD23" s="6">
        <v>0</v>
      </c>
      <c r="AE23" s="6"/>
      <c r="AF23" s="6">
        <v>0</v>
      </c>
      <c r="AG23" s="6"/>
      <c r="AH23" s="6">
        <f>SUM(F23:AF23)</f>
        <v>61225.439999999995</v>
      </c>
    </row>
    <row r="24" spans="1:65">
      <c r="A24" s="4">
        <v>137</v>
      </c>
      <c r="B24" s="35" t="s">
        <v>444</v>
      </c>
      <c r="C24" s="35"/>
      <c r="D24" s="35" t="s">
        <v>55</v>
      </c>
      <c r="E24" s="35"/>
      <c r="F24" s="74">
        <v>300182.27</v>
      </c>
      <c r="G24" s="74"/>
      <c r="H24" s="74">
        <v>831571.03</v>
      </c>
      <c r="I24" s="74"/>
      <c r="J24" s="74">
        <v>40923.279999999999</v>
      </c>
      <c r="K24" s="74"/>
      <c r="L24" s="74">
        <v>31437.040000000001</v>
      </c>
      <c r="M24" s="74"/>
      <c r="N24" s="74">
        <v>0</v>
      </c>
      <c r="O24" s="74"/>
      <c r="P24" s="74">
        <v>0</v>
      </c>
      <c r="Q24" s="74"/>
      <c r="R24" s="74">
        <v>2768.99</v>
      </c>
      <c r="S24" s="74"/>
      <c r="T24" s="74">
        <v>96.24</v>
      </c>
      <c r="U24" s="74"/>
      <c r="V24" s="74">
        <v>2387.84</v>
      </c>
      <c r="W24" s="74"/>
      <c r="X24" s="74">
        <v>0</v>
      </c>
      <c r="Y24" s="74"/>
      <c r="Z24" s="74">
        <v>0</v>
      </c>
      <c r="AA24" s="74"/>
      <c r="AB24" s="74">
        <v>0</v>
      </c>
      <c r="AC24" s="74"/>
      <c r="AD24" s="74">
        <v>0</v>
      </c>
      <c r="AE24" s="74"/>
      <c r="AF24" s="74">
        <v>0</v>
      </c>
      <c r="AG24" s="74"/>
      <c r="AH24" s="74">
        <f>SUM(F24:AF24)</f>
        <v>1209366.6900000002</v>
      </c>
    </row>
    <row r="25" spans="1:65" s="4" customFormat="1" hidden="1">
      <c r="A25" s="4">
        <v>96</v>
      </c>
      <c r="B25" s="4" t="s">
        <v>75</v>
      </c>
      <c r="D25" s="4" t="s">
        <v>76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H25" s="4">
        <f t="shared" si="1"/>
        <v>0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s="4" customFormat="1">
      <c r="A26" s="4">
        <v>97</v>
      </c>
      <c r="B26" s="4" t="s">
        <v>77</v>
      </c>
      <c r="D26" s="4" t="s">
        <v>41</v>
      </c>
      <c r="F26" s="74">
        <v>0</v>
      </c>
      <c r="G26" s="74"/>
      <c r="H26" s="74">
        <v>219727.71</v>
      </c>
      <c r="I26" s="74"/>
      <c r="J26" s="74">
        <v>3132</v>
      </c>
      <c r="K26" s="74"/>
      <c r="L26" s="74">
        <v>9637.14</v>
      </c>
      <c r="M26" s="74"/>
      <c r="N26" s="74">
        <v>0</v>
      </c>
      <c r="O26" s="74"/>
      <c r="P26" s="74">
        <v>7163.33</v>
      </c>
      <c r="Q26" s="74"/>
      <c r="R26" s="74">
        <v>22627.8</v>
      </c>
      <c r="S26" s="74"/>
      <c r="T26" s="74">
        <v>147.41999999999999</v>
      </c>
      <c r="U26" s="74"/>
      <c r="V26" s="74">
        <v>9824.49</v>
      </c>
      <c r="W26" s="74"/>
      <c r="X26" s="74">
        <v>0</v>
      </c>
      <c r="Y26" s="74"/>
      <c r="Z26" s="74">
        <v>0</v>
      </c>
      <c r="AA26" s="74"/>
      <c r="AB26" s="74">
        <v>0</v>
      </c>
      <c r="AC26" s="74"/>
      <c r="AD26" s="74">
        <v>0</v>
      </c>
      <c r="AE26" s="74"/>
      <c r="AF26" s="74">
        <v>0</v>
      </c>
      <c r="AG26" s="74"/>
      <c r="AH26" s="74">
        <f>SUM(F26:AF26)</f>
        <v>272259.88999999996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s="4" customFormat="1">
      <c r="A27" s="4">
        <v>159</v>
      </c>
      <c r="B27" s="35" t="s">
        <v>78</v>
      </c>
      <c r="C27" s="35"/>
      <c r="D27" s="35" t="s">
        <v>79</v>
      </c>
      <c r="E27" s="35"/>
      <c r="F27" s="6">
        <v>0</v>
      </c>
      <c r="G27" s="6"/>
      <c r="H27" s="6">
        <v>265815.62</v>
      </c>
      <c r="I27" s="6"/>
      <c r="J27" s="6">
        <v>0</v>
      </c>
      <c r="K27" s="6"/>
      <c r="L27" s="6">
        <v>7429.78</v>
      </c>
      <c r="M27" s="6"/>
      <c r="N27" s="6">
        <v>0</v>
      </c>
      <c r="O27" s="6"/>
      <c r="P27" s="6">
        <v>0</v>
      </c>
      <c r="Q27" s="6"/>
      <c r="R27" s="6">
        <v>5151.91</v>
      </c>
      <c r="S27" s="6"/>
      <c r="T27" s="6">
        <v>1441.78</v>
      </c>
      <c r="U27" s="6"/>
      <c r="V27" s="6">
        <v>92.62</v>
      </c>
      <c r="W27" s="6"/>
      <c r="X27" s="6">
        <v>0</v>
      </c>
      <c r="Y27" s="6"/>
      <c r="Z27" s="6">
        <v>0</v>
      </c>
      <c r="AA27" s="6"/>
      <c r="AB27" s="6">
        <v>0</v>
      </c>
      <c r="AC27" s="6"/>
      <c r="AD27" s="6">
        <v>0</v>
      </c>
      <c r="AE27" s="6"/>
      <c r="AF27" s="6">
        <v>0</v>
      </c>
      <c r="AG27" s="6"/>
      <c r="AH27" s="6">
        <f>SUM(F27:AF27)</f>
        <v>279931.71000000002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4" customFormat="1">
      <c r="A28" s="4">
        <v>186</v>
      </c>
      <c r="B28" s="4" t="s">
        <v>296</v>
      </c>
      <c r="D28" s="35" t="s">
        <v>40</v>
      </c>
      <c r="F28" s="6">
        <v>124824.06</v>
      </c>
      <c r="G28" s="6"/>
      <c r="H28" s="6">
        <v>216751.51</v>
      </c>
      <c r="I28" s="6"/>
      <c r="J28" s="6">
        <v>38085.39</v>
      </c>
      <c r="K28" s="6"/>
      <c r="L28" s="6">
        <v>10373.19</v>
      </c>
      <c r="M28" s="6"/>
      <c r="N28" s="6">
        <v>0</v>
      </c>
      <c r="O28" s="6"/>
      <c r="P28" s="6">
        <v>0</v>
      </c>
      <c r="Q28" s="6"/>
      <c r="R28" s="6">
        <v>4940.3900000000003</v>
      </c>
      <c r="S28" s="6"/>
      <c r="T28" s="6">
        <v>328.17</v>
      </c>
      <c r="U28" s="6"/>
      <c r="V28" s="6">
        <v>4784.78</v>
      </c>
      <c r="W28" s="6"/>
      <c r="X28" s="6">
        <v>0</v>
      </c>
      <c r="Y28" s="6"/>
      <c r="Z28" s="6">
        <v>0</v>
      </c>
      <c r="AA28" s="6"/>
      <c r="AB28" s="6">
        <v>0</v>
      </c>
      <c r="AC28" s="6"/>
      <c r="AD28" s="6">
        <v>0</v>
      </c>
      <c r="AE28" s="6"/>
      <c r="AF28" s="6">
        <v>0</v>
      </c>
      <c r="AG28" s="6"/>
      <c r="AH28" s="6">
        <f>SUM(F28:AF28)</f>
        <v>400087.49000000005</v>
      </c>
    </row>
    <row r="29" spans="1:65" s="4" customFormat="1">
      <c r="A29" s="4">
        <v>111</v>
      </c>
      <c r="B29" s="4" t="s">
        <v>80</v>
      </c>
      <c r="D29" s="4" t="s">
        <v>81</v>
      </c>
      <c r="F29" s="67">
        <v>454743</v>
      </c>
      <c r="G29" s="67"/>
      <c r="H29" s="67">
        <v>1010284</v>
      </c>
      <c r="I29" s="67"/>
      <c r="J29" s="67">
        <v>0</v>
      </c>
      <c r="K29" s="67"/>
      <c r="L29" s="67">
        <v>50448</v>
      </c>
      <c r="M29" s="67"/>
      <c r="N29" s="67">
        <v>0</v>
      </c>
      <c r="O29" s="67"/>
      <c r="P29" s="67">
        <v>1413</v>
      </c>
      <c r="Q29" s="67"/>
      <c r="R29" s="67">
        <v>2933</v>
      </c>
      <c r="S29" s="67"/>
      <c r="T29" s="67">
        <v>35056</v>
      </c>
      <c r="U29" s="67"/>
      <c r="V29" s="67">
        <v>13283</v>
      </c>
      <c r="W29" s="67"/>
      <c r="X29" s="67">
        <v>0</v>
      </c>
      <c r="Y29" s="67"/>
      <c r="Z29" s="67">
        <v>0</v>
      </c>
      <c r="AA29" s="67"/>
      <c r="AB29" s="67">
        <v>0</v>
      </c>
      <c r="AC29" s="67"/>
      <c r="AD29" s="67">
        <v>0</v>
      </c>
      <c r="AE29" s="67"/>
      <c r="AF29" s="67">
        <v>0</v>
      </c>
      <c r="AH29" s="4">
        <f t="shared" si="1"/>
        <v>1568160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s="4" customFormat="1">
      <c r="A30" s="4">
        <v>100</v>
      </c>
      <c r="B30" s="35" t="s">
        <v>331</v>
      </c>
      <c r="C30" s="35"/>
      <c r="D30" s="35" t="s">
        <v>41</v>
      </c>
      <c r="E30" s="35"/>
      <c r="F30" s="6">
        <v>1250693.21</v>
      </c>
      <c r="G30" s="6"/>
      <c r="H30" s="6">
        <v>0</v>
      </c>
      <c r="I30" s="6"/>
      <c r="J30" s="6">
        <v>0</v>
      </c>
      <c r="K30" s="6"/>
      <c r="L30" s="6">
        <v>31763.13</v>
      </c>
      <c r="M30" s="6"/>
      <c r="N30" s="6">
        <v>0</v>
      </c>
      <c r="O30" s="6"/>
      <c r="P30" s="6">
        <v>0</v>
      </c>
      <c r="Q30" s="6"/>
      <c r="R30" s="6">
        <v>22256.78</v>
      </c>
      <c r="S30" s="6"/>
      <c r="T30" s="6">
        <v>132.85</v>
      </c>
      <c r="U30" s="6"/>
      <c r="V30" s="6">
        <v>4583.58</v>
      </c>
      <c r="W30" s="6"/>
      <c r="X30" s="6">
        <v>0</v>
      </c>
      <c r="Y30" s="6"/>
      <c r="Z30" s="6">
        <v>0</v>
      </c>
      <c r="AA30" s="6"/>
      <c r="AB30" s="6">
        <v>0</v>
      </c>
      <c r="AC30" s="6"/>
      <c r="AD30" s="6">
        <v>0</v>
      </c>
      <c r="AE30" s="6"/>
      <c r="AF30" s="6">
        <v>0</v>
      </c>
      <c r="AG30" s="6"/>
      <c r="AH30" s="6">
        <f>SUM(F30:AF30)</f>
        <v>1309429.55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s="4" customFormat="1">
      <c r="B31" s="35" t="s">
        <v>634</v>
      </c>
      <c r="C31" s="35"/>
      <c r="D31" s="35" t="s">
        <v>208</v>
      </c>
      <c r="E31" s="35"/>
      <c r="F31" s="6">
        <v>0</v>
      </c>
      <c r="G31" s="6"/>
      <c r="H31" s="6">
        <v>1775016.03</v>
      </c>
      <c r="I31" s="6"/>
      <c r="J31" s="6">
        <v>1162.25</v>
      </c>
      <c r="K31" s="6"/>
      <c r="L31" s="6">
        <v>29020.42</v>
      </c>
      <c r="M31" s="6"/>
      <c r="N31" s="6">
        <v>0</v>
      </c>
      <c r="O31" s="6"/>
      <c r="P31" s="6">
        <v>0</v>
      </c>
      <c r="Q31" s="6"/>
      <c r="R31" s="6">
        <v>54058.1</v>
      </c>
      <c r="S31" s="6"/>
      <c r="T31" s="6">
        <v>1538.54</v>
      </c>
      <c r="U31" s="6"/>
      <c r="V31" s="6">
        <v>5805.94</v>
      </c>
      <c r="W31" s="6"/>
      <c r="X31" s="6">
        <v>0</v>
      </c>
      <c r="Y31" s="6"/>
      <c r="Z31" s="6">
        <v>0</v>
      </c>
      <c r="AA31" s="6"/>
      <c r="AB31" s="6">
        <v>0</v>
      </c>
      <c r="AC31" s="6"/>
      <c r="AD31" s="6">
        <v>0</v>
      </c>
      <c r="AE31" s="6"/>
      <c r="AF31" s="6">
        <v>0</v>
      </c>
      <c r="AG31" s="6"/>
      <c r="AH31" s="6">
        <f>SUM(F31:AF31)</f>
        <v>1866601.28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s="4" customFormat="1">
      <c r="A32" s="4">
        <v>194</v>
      </c>
      <c r="B32" s="35" t="s">
        <v>582</v>
      </c>
      <c r="C32" s="35"/>
      <c r="D32" s="35" t="s">
        <v>42</v>
      </c>
      <c r="E32" s="35"/>
      <c r="F32" s="6">
        <v>0</v>
      </c>
      <c r="G32" s="6"/>
      <c r="H32" s="6">
        <v>990737.75</v>
      </c>
      <c r="I32" s="6"/>
      <c r="J32" s="6">
        <v>0</v>
      </c>
      <c r="K32" s="6"/>
      <c r="L32" s="6">
        <v>15440.91</v>
      </c>
      <c r="M32" s="6"/>
      <c r="N32" s="6">
        <v>0</v>
      </c>
      <c r="O32" s="6"/>
      <c r="P32" s="6">
        <v>0</v>
      </c>
      <c r="Q32" s="6"/>
      <c r="R32" s="6">
        <v>25978.91</v>
      </c>
      <c r="S32" s="6"/>
      <c r="T32" s="6">
        <v>14308.38</v>
      </c>
      <c r="U32" s="6"/>
      <c r="V32" s="6">
        <v>3624.87</v>
      </c>
      <c r="W32" s="6"/>
      <c r="X32" s="6">
        <v>0</v>
      </c>
      <c r="Y32" s="6"/>
      <c r="Z32" s="6">
        <v>0</v>
      </c>
      <c r="AA32" s="6"/>
      <c r="AB32" s="6">
        <v>0</v>
      </c>
      <c r="AC32" s="6"/>
      <c r="AD32" s="6">
        <v>0</v>
      </c>
      <c r="AE32" s="6"/>
      <c r="AF32" s="6">
        <v>0</v>
      </c>
      <c r="AG32" s="6"/>
      <c r="AH32" s="6">
        <f>SUM(F32:AF32)</f>
        <v>1050090.82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s="4" customFormat="1">
      <c r="A33" s="4">
        <v>85</v>
      </c>
      <c r="B33" s="4" t="s">
        <v>82</v>
      </c>
      <c r="D33" s="4" t="s">
        <v>55</v>
      </c>
      <c r="F33" s="67">
        <v>1190312</v>
      </c>
      <c r="G33" s="67"/>
      <c r="H33" s="67">
        <v>0</v>
      </c>
      <c r="I33" s="67"/>
      <c r="J33" s="67">
        <v>819795</v>
      </c>
      <c r="K33" s="67"/>
      <c r="L33" s="67">
        <v>48374</v>
      </c>
      <c r="M33" s="67"/>
      <c r="N33" s="67">
        <v>0</v>
      </c>
      <c r="O33" s="67"/>
      <c r="P33" s="67">
        <v>0</v>
      </c>
      <c r="Q33" s="67"/>
      <c r="R33" s="67">
        <v>7202</v>
      </c>
      <c r="S33" s="67"/>
      <c r="T33" s="67">
        <v>38</v>
      </c>
      <c r="U33" s="67"/>
      <c r="V33" s="67">
        <v>21549</v>
      </c>
      <c r="W33" s="67"/>
      <c r="X33" s="67">
        <v>0</v>
      </c>
      <c r="Y33" s="67"/>
      <c r="Z33" s="67">
        <v>0</v>
      </c>
      <c r="AA33" s="67"/>
      <c r="AB33" s="67">
        <v>0</v>
      </c>
      <c r="AC33" s="67"/>
      <c r="AD33" s="67">
        <v>0</v>
      </c>
      <c r="AE33" s="67"/>
      <c r="AF33" s="67">
        <v>0</v>
      </c>
      <c r="AH33" s="4">
        <f t="shared" si="1"/>
        <v>2087270</v>
      </c>
    </row>
    <row r="34" spans="1:65" s="4" customFormat="1">
      <c r="A34" s="4">
        <v>65</v>
      </c>
      <c r="B34" s="35" t="s">
        <v>445</v>
      </c>
      <c r="C34" s="35"/>
      <c r="D34" s="35" t="s">
        <v>20</v>
      </c>
      <c r="E34" s="35"/>
      <c r="F34" s="6">
        <v>428619.55</v>
      </c>
      <c r="G34" s="6"/>
      <c r="H34" s="6">
        <v>821743.64</v>
      </c>
      <c r="I34" s="6"/>
      <c r="J34" s="6">
        <v>74865.63</v>
      </c>
      <c r="K34" s="6"/>
      <c r="L34" s="6">
        <v>31765.79</v>
      </c>
      <c r="M34" s="6"/>
      <c r="N34" s="6">
        <v>0</v>
      </c>
      <c r="O34" s="6"/>
      <c r="P34" s="6">
        <v>0</v>
      </c>
      <c r="Q34" s="6"/>
      <c r="R34" s="6">
        <v>22011.759999999998</v>
      </c>
      <c r="S34" s="6"/>
      <c r="T34" s="6">
        <v>11076.21</v>
      </c>
      <c r="U34" s="6"/>
      <c r="V34" s="6">
        <v>9960.16</v>
      </c>
      <c r="W34" s="6"/>
      <c r="X34" s="6">
        <v>0</v>
      </c>
      <c r="Y34" s="6"/>
      <c r="Z34" s="6">
        <v>0</v>
      </c>
      <c r="AA34" s="6"/>
      <c r="AB34" s="6">
        <v>0</v>
      </c>
      <c r="AC34" s="6"/>
      <c r="AD34" s="6">
        <v>0</v>
      </c>
      <c r="AE34" s="6"/>
      <c r="AF34" s="6">
        <v>0</v>
      </c>
      <c r="AG34" s="6"/>
      <c r="AH34" s="6">
        <f>SUM(F34:AF34)</f>
        <v>1400042.7399999998</v>
      </c>
    </row>
    <row r="35" spans="1:65" s="4" customFormat="1">
      <c r="A35" s="4">
        <v>204</v>
      </c>
      <c r="B35" s="4" t="s">
        <v>19</v>
      </c>
      <c r="D35" s="4" t="s">
        <v>11</v>
      </c>
      <c r="F35" s="67">
        <v>408272</v>
      </c>
      <c r="G35" s="67"/>
      <c r="H35" s="67">
        <v>0</v>
      </c>
      <c r="I35" s="67"/>
      <c r="J35" s="67">
        <v>0</v>
      </c>
      <c r="K35" s="67"/>
      <c r="L35" s="67">
        <v>19110</v>
      </c>
      <c r="M35" s="67"/>
      <c r="N35" s="67">
        <v>0</v>
      </c>
      <c r="O35" s="67"/>
      <c r="P35" s="67">
        <v>0</v>
      </c>
      <c r="Q35" s="67"/>
      <c r="R35" s="67">
        <v>17720</v>
      </c>
      <c r="S35" s="67"/>
      <c r="T35" s="67">
        <v>1647</v>
      </c>
      <c r="U35" s="67"/>
      <c r="V35" s="67">
        <v>8653</v>
      </c>
      <c r="W35" s="67"/>
      <c r="X35" s="67">
        <v>0</v>
      </c>
      <c r="Y35" s="67"/>
      <c r="Z35" s="67">
        <v>0</v>
      </c>
      <c r="AA35" s="67"/>
      <c r="AB35" s="67">
        <v>0</v>
      </c>
      <c r="AC35" s="67"/>
      <c r="AD35" s="67">
        <v>0</v>
      </c>
      <c r="AE35" s="67"/>
      <c r="AF35" s="67">
        <v>0</v>
      </c>
      <c r="AH35" s="4">
        <f t="shared" si="1"/>
        <v>455402</v>
      </c>
    </row>
    <row r="36" spans="1:65" s="4" customFormat="1">
      <c r="A36" s="4">
        <v>203</v>
      </c>
      <c r="B36" s="35" t="s">
        <v>83</v>
      </c>
      <c r="C36" s="35"/>
      <c r="D36" s="35" t="s">
        <v>11</v>
      </c>
      <c r="E36" s="35"/>
      <c r="F36" s="6">
        <v>0</v>
      </c>
      <c r="G36" s="6"/>
      <c r="H36" s="6">
        <v>408272</v>
      </c>
      <c r="I36" s="6"/>
      <c r="J36" s="6">
        <v>0</v>
      </c>
      <c r="K36" s="6"/>
      <c r="L36" s="6">
        <v>9135.2199999999993</v>
      </c>
      <c r="M36" s="6"/>
      <c r="N36" s="6">
        <v>0</v>
      </c>
      <c r="O36" s="6"/>
      <c r="P36" s="6">
        <v>0</v>
      </c>
      <c r="Q36" s="6"/>
      <c r="R36" s="6">
        <v>0</v>
      </c>
      <c r="S36" s="6"/>
      <c r="T36" s="6">
        <v>3510.71</v>
      </c>
      <c r="U36" s="6"/>
      <c r="V36" s="6">
        <v>120.47</v>
      </c>
      <c r="W36" s="6"/>
      <c r="X36" s="6">
        <v>0</v>
      </c>
      <c r="Y36" s="6"/>
      <c r="Z36" s="6">
        <v>0</v>
      </c>
      <c r="AA36" s="6"/>
      <c r="AB36" s="6">
        <v>0</v>
      </c>
      <c r="AC36" s="6"/>
      <c r="AD36" s="6">
        <v>0</v>
      </c>
      <c r="AE36" s="6"/>
      <c r="AF36" s="6">
        <v>0</v>
      </c>
      <c r="AG36" s="6"/>
      <c r="AH36" s="6">
        <f>SUM(F36:AF36)</f>
        <v>421038.39999999997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s="4" customFormat="1">
      <c r="A37" s="4">
        <v>104</v>
      </c>
      <c r="B37" s="4" t="s">
        <v>84</v>
      </c>
      <c r="D37" s="4" t="s">
        <v>85</v>
      </c>
      <c r="F37" s="67">
        <v>0</v>
      </c>
      <c r="G37" s="67"/>
      <c r="H37" s="67">
        <v>67359</v>
      </c>
      <c r="I37" s="67"/>
      <c r="J37" s="67">
        <v>0</v>
      </c>
      <c r="K37" s="67"/>
      <c r="L37" s="67">
        <v>2687</v>
      </c>
      <c r="M37" s="67"/>
      <c r="N37" s="67">
        <v>0</v>
      </c>
      <c r="O37" s="67"/>
      <c r="P37" s="67">
        <v>0</v>
      </c>
      <c r="Q37" s="67"/>
      <c r="R37" s="67">
        <v>305</v>
      </c>
      <c r="S37" s="67"/>
      <c r="T37" s="67">
        <v>3122</v>
      </c>
      <c r="U37" s="67"/>
      <c r="V37" s="67">
        <v>424</v>
      </c>
      <c r="W37" s="67"/>
      <c r="X37" s="67">
        <v>0</v>
      </c>
      <c r="Y37" s="67"/>
      <c r="Z37" s="67">
        <v>0</v>
      </c>
      <c r="AA37" s="67"/>
      <c r="AB37" s="67">
        <v>0</v>
      </c>
      <c r="AC37" s="67"/>
      <c r="AD37" s="67">
        <v>0</v>
      </c>
      <c r="AE37" s="67"/>
      <c r="AF37" s="67">
        <v>50000</v>
      </c>
      <c r="AH37" s="4">
        <f t="shared" si="1"/>
        <v>123897</v>
      </c>
    </row>
    <row r="38" spans="1:65" s="4" customFormat="1">
      <c r="A38" s="4">
        <v>206</v>
      </c>
      <c r="B38" s="4" t="s">
        <v>86</v>
      </c>
      <c r="D38" s="4" t="s">
        <v>87</v>
      </c>
      <c r="F38" s="67">
        <v>247981</v>
      </c>
      <c r="G38" s="67"/>
      <c r="H38" s="67">
        <v>554810</v>
      </c>
      <c r="I38" s="67"/>
      <c r="J38" s="67">
        <v>29243</v>
      </c>
      <c r="K38" s="67"/>
      <c r="L38" s="67">
        <v>23535</v>
      </c>
      <c r="M38" s="67"/>
      <c r="N38" s="67">
        <v>0</v>
      </c>
      <c r="O38" s="67"/>
      <c r="P38" s="67">
        <v>0</v>
      </c>
      <c r="Q38" s="67"/>
      <c r="R38" s="67">
        <v>13463</v>
      </c>
      <c r="S38" s="67"/>
      <c r="T38" s="67">
        <v>2376</v>
      </c>
      <c r="U38" s="67"/>
      <c r="V38" s="67">
        <v>30</v>
      </c>
      <c r="W38" s="67"/>
      <c r="X38" s="67">
        <v>0</v>
      </c>
      <c r="Y38" s="67"/>
      <c r="Z38" s="67">
        <v>0</v>
      </c>
      <c r="AA38" s="67"/>
      <c r="AB38" s="67">
        <v>0</v>
      </c>
      <c r="AC38" s="67"/>
      <c r="AD38" s="67">
        <v>0</v>
      </c>
      <c r="AE38" s="67"/>
      <c r="AF38" s="67">
        <v>0</v>
      </c>
      <c r="AH38" s="4">
        <f t="shared" si="1"/>
        <v>871438</v>
      </c>
    </row>
    <row r="39" spans="1:65" s="4" customFormat="1">
      <c r="A39" s="4">
        <v>15</v>
      </c>
      <c r="B39" s="4" t="s">
        <v>88</v>
      </c>
      <c r="D39" s="4" t="s">
        <v>43</v>
      </c>
      <c r="F39" s="67">
        <v>9222</v>
      </c>
      <c r="G39" s="67"/>
      <c r="H39" s="67">
        <v>115014</v>
      </c>
      <c r="I39" s="67"/>
      <c r="J39" s="67">
        <v>0</v>
      </c>
      <c r="K39" s="67"/>
      <c r="L39" s="67">
        <v>4413</v>
      </c>
      <c r="M39" s="67"/>
      <c r="N39" s="67">
        <v>0</v>
      </c>
      <c r="O39" s="67"/>
      <c r="P39" s="67">
        <v>0</v>
      </c>
      <c r="Q39" s="67"/>
      <c r="R39" s="67">
        <v>1320</v>
      </c>
      <c r="S39" s="67"/>
      <c r="T39" s="67">
        <v>2182</v>
      </c>
      <c r="U39" s="67"/>
      <c r="V39" s="67">
        <v>0</v>
      </c>
      <c r="W39" s="67"/>
      <c r="X39" s="67">
        <v>0</v>
      </c>
      <c r="Y39" s="67"/>
      <c r="Z39" s="67">
        <v>0</v>
      </c>
      <c r="AA39" s="67"/>
      <c r="AB39" s="67">
        <v>0</v>
      </c>
      <c r="AC39" s="67"/>
      <c r="AD39" s="67">
        <v>0</v>
      </c>
      <c r="AE39" s="67"/>
      <c r="AF39" s="67">
        <v>0</v>
      </c>
      <c r="AH39" s="4">
        <f t="shared" si="1"/>
        <v>132151</v>
      </c>
    </row>
    <row r="40" spans="1:65" s="4" customFormat="1">
      <c r="A40" s="4">
        <v>161</v>
      </c>
      <c r="B40" s="4" t="s">
        <v>297</v>
      </c>
      <c r="D40" s="4" t="s">
        <v>90</v>
      </c>
      <c r="F40" s="74">
        <v>580521.62</v>
      </c>
      <c r="G40" s="74"/>
      <c r="H40" s="74">
        <v>1481935.64</v>
      </c>
      <c r="I40" s="74"/>
      <c r="J40" s="74">
        <v>88270.47</v>
      </c>
      <c r="K40" s="74"/>
      <c r="L40" s="74">
        <v>58728.22</v>
      </c>
      <c r="M40" s="74"/>
      <c r="N40" s="74">
        <v>0</v>
      </c>
      <c r="O40" s="74"/>
      <c r="P40" s="74">
        <v>0</v>
      </c>
      <c r="Q40" s="74"/>
      <c r="R40" s="74">
        <v>54493.21</v>
      </c>
      <c r="S40" s="74"/>
      <c r="T40" s="74">
        <v>878.16</v>
      </c>
      <c r="U40" s="74"/>
      <c r="V40" s="74">
        <v>6834.84</v>
      </c>
      <c r="W40" s="74"/>
      <c r="X40" s="74">
        <v>0</v>
      </c>
      <c r="Y40" s="74"/>
      <c r="Z40" s="74">
        <v>75000</v>
      </c>
      <c r="AA40" s="74"/>
      <c r="AB40" s="74">
        <v>0</v>
      </c>
      <c r="AC40" s="74"/>
      <c r="AD40" s="74">
        <v>0</v>
      </c>
      <c r="AE40" s="74"/>
      <c r="AF40" s="74">
        <v>0</v>
      </c>
      <c r="AG40" s="74"/>
      <c r="AH40" s="74">
        <f>SUM(F40:AF40)</f>
        <v>2346662.16</v>
      </c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s="4" customFormat="1">
      <c r="A41" s="4">
        <v>162</v>
      </c>
      <c r="B41" s="4" t="s">
        <v>91</v>
      </c>
      <c r="D41" s="4" t="s">
        <v>92</v>
      </c>
      <c r="F41" s="67">
        <v>0</v>
      </c>
      <c r="G41" s="67"/>
      <c r="H41" s="67">
        <v>1393027</v>
      </c>
      <c r="I41" s="67"/>
      <c r="J41" s="67">
        <v>7991</v>
      </c>
      <c r="K41" s="67"/>
      <c r="L41" s="67">
        <v>32434</v>
      </c>
      <c r="M41" s="67"/>
      <c r="N41" s="67">
        <v>0</v>
      </c>
      <c r="O41" s="67"/>
      <c r="P41" s="67">
        <v>0</v>
      </c>
      <c r="Q41" s="67"/>
      <c r="R41" s="67">
        <v>13245</v>
      </c>
      <c r="S41" s="67"/>
      <c r="T41" s="67">
        <v>12818</v>
      </c>
      <c r="U41" s="67"/>
      <c r="V41" s="67">
        <v>13583</v>
      </c>
      <c r="W41" s="67"/>
      <c r="X41" s="67">
        <v>0</v>
      </c>
      <c r="Y41" s="67"/>
      <c r="Z41" s="67">
        <v>100000</v>
      </c>
      <c r="AA41" s="67"/>
      <c r="AB41" s="67">
        <v>4400</v>
      </c>
      <c r="AC41" s="67"/>
      <c r="AD41" s="67">
        <v>0</v>
      </c>
      <c r="AE41" s="67"/>
      <c r="AF41" s="67">
        <v>0</v>
      </c>
      <c r="AH41" s="4">
        <f t="shared" si="1"/>
        <v>1577498</v>
      </c>
    </row>
    <row r="42" spans="1:65" s="4" customFormat="1" hidden="1">
      <c r="A42" s="4">
        <v>11</v>
      </c>
      <c r="B42" s="4" t="s">
        <v>93</v>
      </c>
      <c r="D42" s="4" t="s">
        <v>67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H42" s="4">
        <f t="shared" si="1"/>
        <v>0</v>
      </c>
    </row>
    <row r="43" spans="1:65" s="4" customFormat="1">
      <c r="A43" s="4">
        <v>103</v>
      </c>
      <c r="B43" s="35" t="s">
        <v>94</v>
      </c>
      <c r="C43" s="35"/>
      <c r="D43" s="35" t="s">
        <v>43</v>
      </c>
      <c r="E43" s="35"/>
      <c r="F43" s="6">
        <v>0</v>
      </c>
      <c r="G43" s="6"/>
      <c r="H43" s="6">
        <v>0</v>
      </c>
      <c r="I43" s="6"/>
      <c r="J43" s="6">
        <v>124903.35</v>
      </c>
      <c r="K43" s="6"/>
      <c r="L43" s="6">
        <v>2442.34</v>
      </c>
      <c r="M43" s="6"/>
      <c r="N43" s="6">
        <v>0</v>
      </c>
      <c r="O43" s="6"/>
      <c r="P43" s="6">
        <v>0</v>
      </c>
      <c r="Q43" s="6"/>
      <c r="R43" s="6">
        <v>7685.71</v>
      </c>
      <c r="S43" s="6"/>
      <c r="T43" s="6">
        <v>382.12</v>
      </c>
      <c r="U43" s="6"/>
      <c r="V43" s="6">
        <v>100.03</v>
      </c>
      <c r="W43" s="6"/>
      <c r="X43" s="6">
        <v>0</v>
      </c>
      <c r="Y43" s="6"/>
      <c r="Z43" s="6">
        <v>0</v>
      </c>
      <c r="AA43" s="6"/>
      <c r="AB43" s="6">
        <v>0</v>
      </c>
      <c r="AC43" s="6"/>
      <c r="AD43" s="6">
        <v>0</v>
      </c>
      <c r="AE43" s="6"/>
      <c r="AF43" s="6">
        <v>0</v>
      </c>
      <c r="AG43" s="6"/>
      <c r="AH43" s="6">
        <f>SUM(F43:AF43)</f>
        <v>135513.54999999999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s="4" customFormat="1">
      <c r="A44" s="4">
        <v>101</v>
      </c>
      <c r="B44" s="35" t="s">
        <v>298</v>
      </c>
      <c r="C44" s="35"/>
      <c r="D44" s="35" t="s">
        <v>95</v>
      </c>
      <c r="E44" s="35"/>
      <c r="F44" s="6">
        <v>98782.46</v>
      </c>
      <c r="G44" s="6"/>
      <c r="H44" s="6">
        <v>224101.05</v>
      </c>
      <c r="I44" s="6"/>
      <c r="J44" s="6">
        <v>38883.01</v>
      </c>
      <c r="K44" s="6"/>
      <c r="L44" s="6">
        <v>12016.48</v>
      </c>
      <c r="M44" s="6"/>
      <c r="N44" s="6">
        <v>0</v>
      </c>
      <c r="O44" s="6"/>
      <c r="P44" s="6">
        <v>0</v>
      </c>
      <c r="Q44" s="6"/>
      <c r="R44" s="6">
        <v>8951.58</v>
      </c>
      <c r="S44" s="6"/>
      <c r="T44" s="6">
        <v>1029.32</v>
      </c>
      <c r="U44" s="6"/>
      <c r="V44" s="6">
        <v>2185.39</v>
      </c>
      <c r="W44" s="6"/>
      <c r="X44" s="6">
        <v>0</v>
      </c>
      <c r="Y44" s="6"/>
      <c r="Z44" s="6">
        <v>0</v>
      </c>
      <c r="AA44" s="6"/>
      <c r="AB44" s="6">
        <v>0</v>
      </c>
      <c r="AC44" s="6"/>
      <c r="AD44" s="6">
        <v>0</v>
      </c>
      <c r="AE44" s="6"/>
      <c r="AF44" s="6">
        <v>0</v>
      </c>
      <c r="AG44" s="6"/>
      <c r="AH44" s="6">
        <f>SUM(F44:AF44)</f>
        <v>385949.29000000004</v>
      </c>
    </row>
    <row r="45" spans="1:65" s="4" customFormat="1">
      <c r="A45" s="4">
        <v>133</v>
      </c>
      <c r="B45" s="35" t="s">
        <v>96</v>
      </c>
      <c r="C45" s="35"/>
      <c r="D45" s="35" t="s">
        <v>44</v>
      </c>
      <c r="E45" s="35"/>
      <c r="F45" s="6">
        <v>0</v>
      </c>
      <c r="G45" s="6"/>
      <c r="H45" s="6">
        <v>180471.32</v>
      </c>
      <c r="I45" s="6"/>
      <c r="J45" s="6">
        <v>0</v>
      </c>
      <c r="K45" s="6"/>
      <c r="L45" s="6">
        <v>3915.26</v>
      </c>
      <c r="M45" s="6"/>
      <c r="N45" s="6">
        <v>0</v>
      </c>
      <c r="O45" s="6"/>
      <c r="P45" s="6">
        <v>0</v>
      </c>
      <c r="Q45" s="6"/>
      <c r="R45" s="6">
        <v>0</v>
      </c>
      <c r="S45" s="6"/>
      <c r="T45" s="6">
        <v>462.66</v>
      </c>
      <c r="U45" s="6"/>
      <c r="V45" s="6">
        <v>1732.02</v>
      </c>
      <c r="W45" s="6"/>
      <c r="X45" s="6">
        <v>0</v>
      </c>
      <c r="Y45" s="6"/>
      <c r="Z45" s="6">
        <v>0</v>
      </c>
      <c r="AA45" s="6"/>
      <c r="AB45" s="6">
        <v>0</v>
      </c>
      <c r="AC45" s="6"/>
      <c r="AD45" s="6">
        <v>0</v>
      </c>
      <c r="AE45" s="6"/>
      <c r="AF45" s="6">
        <v>0</v>
      </c>
      <c r="AG45" s="6"/>
      <c r="AH45" s="6">
        <f>SUM(F45:AF45)</f>
        <v>186581.26</v>
      </c>
    </row>
    <row r="46" spans="1:65" s="4" customFormat="1">
      <c r="A46" s="4">
        <v>259</v>
      </c>
      <c r="B46" s="35" t="s">
        <v>97</v>
      </c>
      <c r="C46" s="35"/>
      <c r="D46" s="35" t="s">
        <v>51</v>
      </c>
      <c r="E46" s="35"/>
      <c r="F46" s="6">
        <v>0</v>
      </c>
      <c r="G46" s="6"/>
      <c r="H46" s="6">
        <v>181738.76</v>
      </c>
      <c r="I46" s="6"/>
      <c r="J46" s="6">
        <v>0</v>
      </c>
      <c r="K46" s="6"/>
      <c r="L46" s="6">
        <v>5254.86</v>
      </c>
      <c r="M46" s="6"/>
      <c r="N46" s="6">
        <v>0</v>
      </c>
      <c r="O46" s="6"/>
      <c r="P46" s="6">
        <v>0</v>
      </c>
      <c r="Q46" s="6"/>
      <c r="R46" s="6">
        <v>13150.82</v>
      </c>
      <c r="S46" s="6"/>
      <c r="T46" s="6">
        <v>94.66</v>
      </c>
      <c r="U46" s="6"/>
      <c r="V46" s="6">
        <v>1562.14</v>
      </c>
      <c r="W46" s="6"/>
      <c r="X46" s="6">
        <v>479.36</v>
      </c>
      <c r="Y46" s="6"/>
      <c r="Z46" s="6">
        <v>0</v>
      </c>
      <c r="AA46" s="6"/>
      <c r="AB46" s="6">
        <v>0</v>
      </c>
      <c r="AC46" s="6"/>
      <c r="AD46" s="6">
        <v>0</v>
      </c>
      <c r="AE46" s="6"/>
      <c r="AF46" s="6">
        <v>0</v>
      </c>
      <c r="AG46" s="6"/>
      <c r="AH46" s="6">
        <f>SUM(F46:AF46)</f>
        <v>202280.6</v>
      </c>
    </row>
    <row r="47" spans="1:65" s="4" customFormat="1">
      <c r="A47" s="4">
        <v>150</v>
      </c>
      <c r="B47" s="4" t="s">
        <v>570</v>
      </c>
      <c r="D47" s="4" t="s">
        <v>571</v>
      </c>
      <c r="F47" s="67">
        <v>0</v>
      </c>
      <c r="G47" s="67"/>
      <c r="H47" s="67">
        <v>1867955</v>
      </c>
      <c r="I47" s="67"/>
      <c r="J47" s="67">
        <v>0</v>
      </c>
      <c r="K47" s="67"/>
      <c r="L47" s="67">
        <v>45283</v>
      </c>
      <c r="M47" s="67"/>
      <c r="N47" s="67">
        <v>0</v>
      </c>
      <c r="O47" s="67"/>
      <c r="P47" s="67">
        <v>0</v>
      </c>
      <c r="Q47" s="67"/>
      <c r="R47" s="67">
        <v>1335</v>
      </c>
      <c r="S47" s="67"/>
      <c r="T47" s="67">
        <v>792</v>
      </c>
      <c r="U47" s="67"/>
      <c r="V47" s="67">
        <v>13955</v>
      </c>
      <c r="W47" s="67"/>
      <c r="X47" s="67">
        <v>0</v>
      </c>
      <c r="Y47" s="67"/>
      <c r="Z47" s="67">
        <v>0</v>
      </c>
      <c r="AA47" s="67"/>
      <c r="AB47" s="67">
        <v>0</v>
      </c>
      <c r="AC47" s="67"/>
      <c r="AD47" s="67">
        <v>0</v>
      </c>
      <c r="AE47" s="67"/>
      <c r="AF47" s="67">
        <v>0</v>
      </c>
      <c r="AH47" s="4">
        <f t="shared" si="1"/>
        <v>1929320</v>
      </c>
    </row>
    <row r="48" spans="1:65" s="4" customFormat="1">
      <c r="A48" s="4">
        <v>36</v>
      </c>
      <c r="B48" s="4" t="s">
        <v>98</v>
      </c>
      <c r="D48" s="4" t="s">
        <v>54</v>
      </c>
      <c r="F48" s="67">
        <v>0</v>
      </c>
      <c r="G48" s="67"/>
      <c r="H48" s="67">
        <v>0</v>
      </c>
      <c r="I48" s="67"/>
      <c r="J48" s="67">
        <v>323131</v>
      </c>
      <c r="K48" s="67"/>
      <c r="L48" s="67">
        <v>7191</v>
      </c>
      <c r="M48" s="67"/>
      <c r="N48" s="67">
        <v>0</v>
      </c>
      <c r="O48" s="67"/>
      <c r="P48" s="67">
        <v>0</v>
      </c>
      <c r="Q48" s="67"/>
      <c r="R48" s="67">
        <v>0</v>
      </c>
      <c r="S48" s="67"/>
      <c r="T48" s="67">
        <v>7333</v>
      </c>
      <c r="U48" s="67"/>
      <c r="V48" s="67">
        <v>79</v>
      </c>
      <c r="W48" s="67"/>
      <c r="X48" s="67">
        <v>0</v>
      </c>
      <c r="Y48" s="67"/>
      <c r="Z48" s="67">
        <v>0</v>
      </c>
      <c r="AA48" s="67"/>
      <c r="AB48" s="67">
        <v>0</v>
      </c>
      <c r="AC48" s="67"/>
      <c r="AD48" s="67">
        <v>0</v>
      </c>
      <c r="AE48" s="67"/>
      <c r="AF48" s="67">
        <v>0</v>
      </c>
      <c r="AH48" s="4">
        <f t="shared" si="1"/>
        <v>337734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s="4" customFormat="1">
      <c r="A49" s="4">
        <v>176</v>
      </c>
      <c r="B49" s="35" t="s">
        <v>468</v>
      </c>
      <c r="C49" s="35"/>
      <c r="D49" s="35" t="s">
        <v>45</v>
      </c>
      <c r="E49" s="35"/>
      <c r="F49" s="6">
        <v>0</v>
      </c>
      <c r="G49" s="6"/>
      <c r="H49" s="6">
        <v>704353.67</v>
      </c>
      <c r="I49" s="6"/>
      <c r="J49" s="6">
        <v>423854.33</v>
      </c>
      <c r="K49" s="6"/>
      <c r="L49" s="6">
        <v>30928.85</v>
      </c>
      <c r="M49" s="6"/>
      <c r="N49" s="6">
        <v>0</v>
      </c>
      <c r="O49" s="6"/>
      <c r="P49" s="6">
        <v>5600</v>
      </c>
      <c r="Q49" s="6"/>
      <c r="R49" s="6">
        <v>1135.57</v>
      </c>
      <c r="S49" s="6"/>
      <c r="T49" s="6">
        <v>347.38</v>
      </c>
      <c r="U49" s="6"/>
      <c r="V49" s="6">
        <v>5683.42</v>
      </c>
      <c r="W49" s="6"/>
      <c r="X49" s="6">
        <v>0</v>
      </c>
      <c r="Y49" s="6"/>
      <c r="Z49" s="6">
        <v>0</v>
      </c>
      <c r="AA49" s="6"/>
      <c r="AB49" s="6">
        <v>50</v>
      </c>
      <c r="AC49" s="6"/>
      <c r="AD49" s="6">
        <v>0</v>
      </c>
      <c r="AE49" s="6"/>
      <c r="AF49" s="6">
        <v>0</v>
      </c>
      <c r="AG49" s="6"/>
      <c r="AH49" s="6">
        <f>SUM(F49:AF49)</f>
        <v>1171953.22</v>
      </c>
    </row>
    <row r="50" spans="1:65" s="4" customFormat="1">
      <c r="A50" s="4">
        <v>158</v>
      </c>
      <c r="B50" s="4" t="s">
        <v>99</v>
      </c>
      <c r="D50" s="4" t="s">
        <v>100</v>
      </c>
      <c r="F50" s="67">
        <v>97920</v>
      </c>
      <c r="G50" s="67"/>
      <c r="H50" s="67">
        <v>31907</v>
      </c>
      <c r="I50" s="67"/>
      <c r="J50" s="67">
        <v>0</v>
      </c>
      <c r="K50" s="67"/>
      <c r="L50" s="67">
        <v>5986</v>
      </c>
      <c r="M50" s="67"/>
      <c r="N50" s="67">
        <v>0</v>
      </c>
      <c r="O50" s="67"/>
      <c r="P50" s="67">
        <v>0</v>
      </c>
      <c r="Q50" s="67"/>
      <c r="R50" s="67">
        <v>3305</v>
      </c>
      <c r="S50" s="67"/>
      <c r="T50" s="67">
        <v>1219</v>
      </c>
      <c r="U50" s="67"/>
      <c r="V50" s="67">
        <v>10279</v>
      </c>
      <c r="W50" s="67"/>
      <c r="X50" s="67">
        <v>0</v>
      </c>
      <c r="Y50" s="67"/>
      <c r="Z50" s="67">
        <v>0</v>
      </c>
      <c r="AA50" s="67"/>
      <c r="AB50" s="67">
        <v>0</v>
      </c>
      <c r="AC50" s="67"/>
      <c r="AD50" s="67">
        <v>0</v>
      </c>
      <c r="AE50" s="67"/>
      <c r="AF50" s="67">
        <v>0</v>
      </c>
      <c r="AH50" s="4">
        <f t="shared" si="1"/>
        <v>150616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s="4" customFormat="1">
      <c r="A51" s="4">
        <v>106</v>
      </c>
      <c r="B51" s="4" t="s">
        <v>101</v>
      </c>
      <c r="D51" s="4" t="s">
        <v>50</v>
      </c>
      <c r="F51" s="67">
        <v>506369</v>
      </c>
      <c r="G51" s="67"/>
      <c r="H51" s="67">
        <v>0</v>
      </c>
      <c r="I51" s="67"/>
      <c r="J51" s="67">
        <v>0</v>
      </c>
      <c r="K51" s="67"/>
      <c r="L51" s="67">
        <v>11813</v>
      </c>
      <c r="M51" s="67"/>
      <c r="N51" s="67">
        <v>0</v>
      </c>
      <c r="O51" s="67"/>
      <c r="P51" s="67">
        <v>0</v>
      </c>
      <c r="Q51" s="67"/>
      <c r="R51" s="67">
        <v>39257</v>
      </c>
      <c r="S51" s="67"/>
      <c r="T51" s="67">
        <v>4346</v>
      </c>
      <c r="U51" s="67"/>
      <c r="V51" s="67">
        <v>14742</v>
      </c>
      <c r="W51" s="67"/>
      <c r="X51" s="67">
        <v>0</v>
      </c>
      <c r="Y51" s="67"/>
      <c r="Z51" s="67">
        <v>103568</v>
      </c>
      <c r="AA51" s="67"/>
      <c r="AB51" s="67">
        <v>0</v>
      </c>
      <c r="AC51" s="67"/>
      <c r="AD51" s="67">
        <v>0</v>
      </c>
      <c r="AE51" s="67"/>
      <c r="AF51" s="67">
        <v>0</v>
      </c>
      <c r="AH51" s="4">
        <f t="shared" si="1"/>
        <v>680095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s="4" customFormat="1">
      <c r="A52" s="4">
        <v>112</v>
      </c>
      <c r="B52" s="35" t="s">
        <v>102</v>
      </c>
      <c r="C52" s="35"/>
      <c r="D52" s="35" t="s">
        <v>15</v>
      </c>
      <c r="E52" s="35"/>
      <c r="F52" s="6">
        <v>212612.36</v>
      </c>
      <c r="G52" s="6"/>
      <c r="H52" s="6">
        <v>435528.1</v>
      </c>
      <c r="I52" s="6"/>
      <c r="J52" s="6">
        <v>50491.87</v>
      </c>
      <c r="K52" s="6"/>
      <c r="L52" s="6">
        <v>18519.16</v>
      </c>
      <c r="M52" s="6"/>
      <c r="N52" s="6">
        <v>0</v>
      </c>
      <c r="O52" s="6"/>
      <c r="P52" s="6">
        <v>0</v>
      </c>
      <c r="Q52" s="6"/>
      <c r="R52" s="6">
        <v>16975.25</v>
      </c>
      <c r="S52" s="6"/>
      <c r="T52" s="6">
        <v>1606.2</v>
      </c>
      <c r="U52" s="6"/>
      <c r="V52" s="6">
        <v>3403</v>
      </c>
      <c r="W52" s="6"/>
      <c r="X52" s="6">
        <v>25.47</v>
      </c>
      <c r="Y52" s="6"/>
      <c r="Z52" s="6">
        <v>0</v>
      </c>
      <c r="AA52" s="6"/>
      <c r="AB52" s="6">
        <v>0</v>
      </c>
      <c r="AC52" s="6"/>
      <c r="AD52" s="6">
        <v>0</v>
      </c>
      <c r="AE52" s="6"/>
      <c r="AF52" s="6">
        <v>0</v>
      </c>
      <c r="AG52" s="6"/>
      <c r="AH52" s="6">
        <f>SUM(F52:AF52)</f>
        <v>739161.40999999992</v>
      </c>
    </row>
    <row r="53" spans="1:65" s="4" customFormat="1">
      <c r="A53" s="4">
        <v>116</v>
      </c>
      <c r="B53" s="35" t="s">
        <v>103</v>
      </c>
      <c r="C53" s="35"/>
      <c r="D53" s="35" t="s">
        <v>104</v>
      </c>
      <c r="E53" s="35"/>
      <c r="F53" s="6">
        <v>0</v>
      </c>
      <c r="G53" s="6"/>
      <c r="H53" s="6">
        <v>372974.05</v>
      </c>
      <c r="I53" s="6"/>
      <c r="J53" s="6">
        <v>0</v>
      </c>
      <c r="K53" s="6"/>
      <c r="L53" s="6">
        <v>12059.08</v>
      </c>
      <c r="M53" s="6"/>
      <c r="N53" s="6">
        <v>0</v>
      </c>
      <c r="O53" s="6"/>
      <c r="P53" s="6">
        <v>0</v>
      </c>
      <c r="Q53" s="6"/>
      <c r="R53" s="6">
        <v>819</v>
      </c>
      <c r="S53" s="6"/>
      <c r="T53" s="6">
        <v>546.49</v>
      </c>
      <c r="U53" s="6"/>
      <c r="V53" s="6">
        <v>173</v>
      </c>
      <c r="W53" s="6"/>
      <c r="X53" s="6">
        <v>0</v>
      </c>
      <c r="Y53" s="6"/>
      <c r="Z53" s="6">
        <v>54646.52</v>
      </c>
      <c r="AA53" s="6"/>
      <c r="AB53" s="6">
        <v>0</v>
      </c>
      <c r="AC53" s="6"/>
      <c r="AD53" s="6">
        <v>0</v>
      </c>
      <c r="AE53" s="6"/>
      <c r="AF53" s="6">
        <v>0</v>
      </c>
      <c r="AG53" s="6"/>
      <c r="AH53" s="6">
        <f>SUM(F53:AF53)</f>
        <v>441218.14</v>
      </c>
    </row>
    <row r="54" spans="1:65" s="4" customFormat="1">
      <c r="A54" s="4">
        <v>177</v>
      </c>
      <c r="B54" s="35" t="s">
        <v>105</v>
      </c>
      <c r="C54" s="35"/>
      <c r="D54" s="35" t="s">
        <v>23</v>
      </c>
      <c r="E54" s="35"/>
      <c r="F54" s="6">
        <v>217207.87</v>
      </c>
      <c r="G54" s="6"/>
      <c r="H54" s="6">
        <v>517639.93</v>
      </c>
      <c r="I54" s="6"/>
      <c r="J54" s="6">
        <v>59308.83</v>
      </c>
      <c r="K54" s="6"/>
      <c r="L54" s="6">
        <v>24000.400000000001</v>
      </c>
      <c r="M54" s="6"/>
      <c r="N54" s="6">
        <v>0</v>
      </c>
      <c r="O54" s="6"/>
      <c r="P54" s="6">
        <v>0</v>
      </c>
      <c r="Q54" s="6"/>
      <c r="R54" s="6">
        <v>2640</v>
      </c>
      <c r="S54" s="6"/>
      <c r="T54" s="6">
        <v>337.82</v>
      </c>
      <c r="U54" s="6"/>
      <c r="V54" s="6">
        <v>2361.2600000000002</v>
      </c>
      <c r="W54" s="6"/>
      <c r="X54" s="6">
        <v>0</v>
      </c>
      <c r="Y54" s="6"/>
      <c r="Z54" s="6">
        <v>0</v>
      </c>
      <c r="AA54" s="6"/>
      <c r="AB54" s="6">
        <v>0</v>
      </c>
      <c r="AC54" s="6"/>
      <c r="AD54" s="6">
        <v>46</v>
      </c>
      <c r="AE54" s="6"/>
      <c r="AF54" s="6">
        <v>0</v>
      </c>
      <c r="AG54" s="6"/>
      <c r="AH54" s="6">
        <f>SUM(F54:AF54)</f>
        <v>823542.11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s="4" customFormat="1">
      <c r="A55" s="4">
        <v>174</v>
      </c>
      <c r="B55" s="4" t="s">
        <v>106</v>
      </c>
      <c r="D55" s="4" t="s">
        <v>66</v>
      </c>
      <c r="F55" s="67">
        <v>0</v>
      </c>
      <c r="G55" s="67"/>
      <c r="H55" s="67">
        <v>218872</v>
      </c>
      <c r="I55" s="67"/>
      <c r="J55" s="67">
        <v>13432</v>
      </c>
      <c r="K55" s="67"/>
      <c r="L55" s="67">
        <v>7205</v>
      </c>
      <c r="M55" s="67"/>
      <c r="N55" s="67">
        <v>0</v>
      </c>
      <c r="O55" s="67"/>
      <c r="P55" s="67">
        <v>0</v>
      </c>
      <c r="Q55" s="67"/>
      <c r="R55" s="67">
        <v>3902</v>
      </c>
      <c r="S55" s="67"/>
      <c r="T55" s="67">
        <v>1225</v>
      </c>
      <c r="U55" s="67"/>
      <c r="V55" s="67">
        <v>7170</v>
      </c>
      <c r="W55" s="67"/>
      <c r="X55" s="67">
        <v>0</v>
      </c>
      <c r="Y55" s="67"/>
      <c r="Z55" s="67">
        <v>0</v>
      </c>
      <c r="AA55" s="67"/>
      <c r="AB55" s="67">
        <v>0</v>
      </c>
      <c r="AC55" s="67"/>
      <c r="AD55" s="67">
        <v>0</v>
      </c>
      <c r="AE55" s="67"/>
      <c r="AF55" s="67">
        <v>0</v>
      </c>
      <c r="AH55" s="4">
        <f t="shared" si="1"/>
        <v>251806</v>
      </c>
    </row>
    <row r="56" spans="1:65" s="4" customFormat="1">
      <c r="A56" s="4">
        <v>95</v>
      </c>
      <c r="B56" s="4" t="s">
        <v>107</v>
      </c>
      <c r="D56" s="4" t="s">
        <v>108</v>
      </c>
      <c r="F56" s="67">
        <v>0</v>
      </c>
      <c r="G56" s="67"/>
      <c r="H56" s="67">
        <v>838767</v>
      </c>
      <c r="I56" s="67"/>
      <c r="J56" s="67">
        <v>0</v>
      </c>
      <c r="K56" s="67"/>
      <c r="L56" s="67">
        <v>20301</v>
      </c>
      <c r="M56" s="67"/>
      <c r="N56" s="67">
        <v>0</v>
      </c>
      <c r="O56" s="67"/>
      <c r="P56" s="67">
        <v>0</v>
      </c>
      <c r="Q56" s="67"/>
      <c r="R56" s="67">
        <v>12123</v>
      </c>
      <c r="S56" s="67"/>
      <c r="T56" s="67">
        <v>8801</v>
      </c>
      <c r="U56" s="67"/>
      <c r="V56" s="67">
        <v>11926</v>
      </c>
      <c r="W56" s="67"/>
      <c r="X56" s="67">
        <v>0</v>
      </c>
      <c r="Y56" s="67"/>
      <c r="Z56" s="67">
        <v>0</v>
      </c>
      <c r="AA56" s="67"/>
      <c r="AB56" s="67">
        <v>0</v>
      </c>
      <c r="AC56" s="67"/>
      <c r="AD56" s="67">
        <v>0</v>
      </c>
      <c r="AE56" s="67"/>
      <c r="AF56" s="67">
        <v>0</v>
      </c>
      <c r="AH56" s="4">
        <f t="shared" si="1"/>
        <v>891918</v>
      </c>
    </row>
    <row r="57" spans="1:65" s="4" customFormat="1">
      <c r="A57" s="4">
        <v>121</v>
      </c>
      <c r="B57" s="35" t="s">
        <v>583</v>
      </c>
      <c r="C57" s="35"/>
      <c r="D57" s="35" t="s">
        <v>46</v>
      </c>
      <c r="E57" s="35"/>
      <c r="F57" s="6">
        <v>0</v>
      </c>
      <c r="G57" s="6"/>
      <c r="H57" s="6">
        <v>581136.74</v>
      </c>
      <c r="I57" s="6"/>
      <c r="J57" s="6">
        <v>0</v>
      </c>
      <c r="K57" s="6"/>
      <c r="L57" s="6">
        <v>35298.25</v>
      </c>
      <c r="M57" s="6"/>
      <c r="N57" s="6">
        <v>0</v>
      </c>
      <c r="O57" s="6"/>
      <c r="P57" s="6">
        <v>0</v>
      </c>
      <c r="Q57" s="6"/>
      <c r="R57" s="6">
        <v>1594</v>
      </c>
      <c r="S57" s="6"/>
      <c r="T57" s="6">
        <v>1178.76</v>
      </c>
      <c r="U57" s="6"/>
      <c r="V57" s="6">
        <v>11891.34</v>
      </c>
      <c r="W57" s="6"/>
      <c r="X57" s="6">
        <v>0</v>
      </c>
      <c r="Y57" s="6"/>
      <c r="Z57" s="6">
        <v>0</v>
      </c>
      <c r="AA57" s="6"/>
      <c r="AB57" s="6">
        <v>0</v>
      </c>
      <c r="AC57" s="6"/>
      <c r="AD57" s="6">
        <v>0</v>
      </c>
      <c r="AE57" s="6"/>
      <c r="AF57" s="6">
        <v>0</v>
      </c>
      <c r="AG57" s="6"/>
      <c r="AH57" s="6">
        <f>SUM(F57:AF57)</f>
        <v>631099.09</v>
      </c>
    </row>
    <row r="58" spans="1:65" s="4" customFormat="1">
      <c r="A58" s="4">
        <v>84</v>
      </c>
      <c r="B58" s="4" t="s">
        <v>109</v>
      </c>
      <c r="D58" s="4" t="s">
        <v>14</v>
      </c>
      <c r="F58" s="67">
        <v>0</v>
      </c>
      <c r="G58" s="67"/>
      <c r="H58" s="67">
        <v>222710.03</v>
      </c>
      <c r="I58" s="67"/>
      <c r="J58" s="67">
        <v>0</v>
      </c>
      <c r="K58" s="67"/>
      <c r="L58" s="67">
        <v>7910.59</v>
      </c>
      <c r="M58" s="67"/>
      <c r="N58" s="67">
        <v>0</v>
      </c>
      <c r="O58" s="67"/>
      <c r="P58" s="67">
        <v>0</v>
      </c>
      <c r="Q58" s="67"/>
      <c r="R58" s="67">
        <v>465</v>
      </c>
      <c r="S58" s="67"/>
      <c r="T58" s="67">
        <v>741.96</v>
      </c>
      <c r="U58" s="67"/>
      <c r="V58" s="67">
        <v>1014.1</v>
      </c>
      <c r="W58" s="67"/>
      <c r="X58" s="67">
        <v>0</v>
      </c>
      <c r="Y58" s="67"/>
      <c r="Z58" s="67">
        <v>0</v>
      </c>
      <c r="AA58" s="67"/>
      <c r="AB58" s="67">
        <v>0</v>
      </c>
      <c r="AC58" s="67"/>
      <c r="AD58" s="67">
        <v>0</v>
      </c>
      <c r="AE58" s="67"/>
      <c r="AF58" s="67">
        <v>0</v>
      </c>
      <c r="AH58" s="4">
        <f t="shared" si="1"/>
        <v>232841.68</v>
      </c>
    </row>
    <row r="59" spans="1:65" s="4" customFormat="1">
      <c r="A59" s="4">
        <v>248</v>
      </c>
      <c r="B59" s="4" t="s">
        <v>584</v>
      </c>
      <c r="D59" s="4" t="s">
        <v>60</v>
      </c>
      <c r="F59" s="6">
        <v>464820.16</v>
      </c>
      <c r="G59" s="6"/>
      <c r="H59" s="6">
        <v>589568.42000000004</v>
      </c>
      <c r="I59" s="6"/>
      <c r="J59" s="6">
        <v>85767.85</v>
      </c>
      <c r="K59" s="6"/>
      <c r="L59" s="6">
        <v>35069.32</v>
      </c>
      <c r="M59" s="6"/>
      <c r="N59" s="6">
        <v>0</v>
      </c>
      <c r="O59" s="6"/>
      <c r="P59" s="6">
        <v>0</v>
      </c>
      <c r="Q59" s="6"/>
      <c r="R59" s="6">
        <v>8669.8700000000008</v>
      </c>
      <c r="S59" s="6"/>
      <c r="T59" s="6">
        <v>631.41999999999996</v>
      </c>
      <c r="U59" s="6"/>
      <c r="V59" s="6">
        <v>5213.2</v>
      </c>
      <c r="W59" s="6"/>
      <c r="X59" s="6">
        <v>0</v>
      </c>
      <c r="Y59" s="6"/>
      <c r="Z59" s="6">
        <v>0</v>
      </c>
      <c r="AA59" s="6"/>
      <c r="AB59" s="6">
        <v>0</v>
      </c>
      <c r="AC59" s="6"/>
      <c r="AD59" s="6">
        <v>0</v>
      </c>
      <c r="AE59" s="6"/>
      <c r="AF59" s="6">
        <v>0</v>
      </c>
      <c r="AG59" s="6"/>
      <c r="AH59" s="6">
        <f>SUM(F59:AF59)</f>
        <v>1189740.2400000002</v>
      </c>
    </row>
    <row r="60" spans="1:65" s="4" customFormat="1">
      <c r="A60" s="4">
        <v>29</v>
      </c>
      <c r="B60" s="35" t="s">
        <v>560</v>
      </c>
      <c r="C60" s="35"/>
      <c r="D60" s="35" t="s">
        <v>47</v>
      </c>
      <c r="E60" s="35"/>
      <c r="F60" s="6">
        <v>1156291.57</v>
      </c>
      <c r="G60" s="6"/>
      <c r="H60" s="6">
        <v>2151180.15</v>
      </c>
      <c r="I60" s="6"/>
      <c r="J60" s="6">
        <v>33016</v>
      </c>
      <c r="K60" s="6"/>
      <c r="L60" s="6">
        <v>51474.62</v>
      </c>
      <c r="M60" s="6"/>
      <c r="N60" s="6">
        <v>0</v>
      </c>
      <c r="O60" s="6"/>
      <c r="P60" s="6">
        <v>0</v>
      </c>
      <c r="Q60" s="6"/>
      <c r="R60" s="6">
        <v>88005.9</v>
      </c>
      <c r="S60" s="6"/>
      <c r="T60" s="6">
        <v>3790.63</v>
      </c>
      <c r="U60" s="6"/>
      <c r="V60" s="6">
        <v>14144.13</v>
      </c>
      <c r="W60" s="6"/>
      <c r="X60" s="6">
        <v>10</v>
      </c>
      <c r="Y60" s="6"/>
      <c r="Z60" s="6">
        <v>0</v>
      </c>
      <c r="AA60" s="6"/>
      <c r="AB60" s="6">
        <v>0</v>
      </c>
      <c r="AC60" s="6"/>
      <c r="AD60" s="6">
        <v>0</v>
      </c>
      <c r="AE60" s="6"/>
      <c r="AF60" s="6">
        <v>0</v>
      </c>
      <c r="AG60" s="6"/>
      <c r="AH60" s="6">
        <f>SUM(F60:AF60)</f>
        <v>3497912.9999999995</v>
      </c>
    </row>
    <row r="61" spans="1:65" s="4" customFormat="1" hidden="1">
      <c r="A61" s="4">
        <v>29</v>
      </c>
      <c r="B61" s="35" t="s">
        <v>612</v>
      </c>
      <c r="C61" s="35"/>
      <c r="D61" s="35" t="s">
        <v>569</v>
      </c>
      <c r="E61" s="35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35"/>
      <c r="AH61" s="4">
        <f t="shared" si="1"/>
        <v>0</v>
      </c>
    </row>
    <row r="62" spans="1:65" s="4" customFormat="1">
      <c r="A62" s="4">
        <v>58</v>
      </c>
      <c r="B62" s="4" t="s">
        <v>111</v>
      </c>
      <c r="D62" s="4" t="s">
        <v>112</v>
      </c>
      <c r="F62" s="67">
        <v>2526906</v>
      </c>
      <c r="G62" s="67"/>
      <c r="H62" s="67">
        <v>0</v>
      </c>
      <c r="I62" s="67"/>
      <c r="J62" s="67">
        <v>4282590</v>
      </c>
      <c r="K62" s="67"/>
      <c r="L62" s="67">
        <v>99036</v>
      </c>
      <c r="M62" s="67"/>
      <c r="N62" s="67">
        <v>0</v>
      </c>
      <c r="O62" s="67"/>
      <c r="P62" s="67">
        <v>10</v>
      </c>
      <c r="Q62" s="67"/>
      <c r="R62" s="67">
        <v>51716</v>
      </c>
      <c r="S62" s="67"/>
      <c r="T62" s="67">
        <v>9717</v>
      </c>
      <c r="U62" s="67"/>
      <c r="V62" s="67">
        <v>36313</v>
      </c>
      <c r="W62" s="67"/>
      <c r="X62" s="67">
        <v>0</v>
      </c>
      <c r="Y62" s="67"/>
      <c r="Z62" s="67">
        <v>0</v>
      </c>
      <c r="AA62" s="67"/>
      <c r="AB62" s="67">
        <v>0</v>
      </c>
      <c r="AC62" s="67"/>
      <c r="AD62" s="67">
        <v>19705</v>
      </c>
      <c r="AE62" s="67"/>
      <c r="AF62" s="67">
        <v>0</v>
      </c>
      <c r="AH62" s="4">
        <f t="shared" si="1"/>
        <v>7025993</v>
      </c>
    </row>
    <row r="63" spans="1:65" s="4" customFormat="1">
      <c r="A63" s="4">
        <v>60</v>
      </c>
      <c r="B63" s="4" t="s">
        <v>299</v>
      </c>
      <c r="D63" s="4" t="s">
        <v>24</v>
      </c>
      <c r="F63" s="6">
        <v>0</v>
      </c>
      <c r="G63" s="6"/>
      <c r="H63" s="6">
        <v>355883.96</v>
      </c>
      <c r="I63" s="6"/>
      <c r="J63" s="6">
        <v>1300</v>
      </c>
      <c r="K63" s="6"/>
      <c r="L63" s="6">
        <v>11738.87</v>
      </c>
      <c r="M63" s="6"/>
      <c r="N63" s="6">
        <v>0</v>
      </c>
      <c r="O63" s="6"/>
      <c r="P63" s="6">
        <v>0</v>
      </c>
      <c r="Q63" s="6"/>
      <c r="R63" s="6">
        <v>1387.32</v>
      </c>
      <c r="S63" s="6"/>
      <c r="T63" s="6">
        <v>1302.6400000000001</v>
      </c>
      <c r="U63" s="6"/>
      <c r="V63" s="6">
        <v>4559.12</v>
      </c>
      <c r="W63" s="6"/>
      <c r="X63" s="6">
        <v>0</v>
      </c>
      <c r="Y63" s="6"/>
      <c r="Z63" s="6">
        <v>0</v>
      </c>
      <c r="AA63" s="6"/>
      <c r="AB63" s="6">
        <v>0</v>
      </c>
      <c r="AC63" s="6"/>
      <c r="AD63" s="6">
        <v>0</v>
      </c>
      <c r="AE63" s="6"/>
      <c r="AF63" s="6">
        <v>0</v>
      </c>
      <c r="AG63" s="6"/>
      <c r="AH63" s="6">
        <f>SUM(F63:AF63)</f>
        <v>376171.91000000003</v>
      </c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65" s="4" customFormat="1">
      <c r="A64" s="4">
        <v>164</v>
      </c>
      <c r="B64" s="4" t="s">
        <v>113</v>
      </c>
      <c r="D64" s="4" t="s">
        <v>114</v>
      </c>
      <c r="F64" s="67">
        <v>3444832</v>
      </c>
      <c r="G64" s="67"/>
      <c r="H64" s="67">
        <v>4889459</v>
      </c>
      <c r="I64" s="67"/>
      <c r="J64" s="67">
        <v>504489</v>
      </c>
      <c r="K64" s="67"/>
      <c r="L64" s="67">
        <v>216850</v>
      </c>
      <c r="M64" s="67"/>
      <c r="N64" s="67">
        <v>0</v>
      </c>
      <c r="O64" s="67"/>
      <c r="P64" s="67">
        <v>0</v>
      </c>
      <c r="Q64" s="67"/>
      <c r="R64" s="67">
        <v>32549</v>
      </c>
      <c r="S64" s="67"/>
      <c r="T64" s="67">
        <v>8438</v>
      </c>
      <c r="U64" s="67"/>
      <c r="V64" s="67">
        <v>46583</v>
      </c>
      <c r="W64" s="67"/>
      <c r="X64" s="67">
        <v>0</v>
      </c>
      <c r="Y64" s="67"/>
      <c r="Z64" s="67">
        <v>200000</v>
      </c>
      <c r="AA64" s="67"/>
      <c r="AB64" s="67">
        <v>1007000</v>
      </c>
      <c r="AC64" s="67"/>
      <c r="AD64" s="67">
        <v>0</v>
      </c>
      <c r="AE64" s="67"/>
      <c r="AF64" s="67">
        <v>510000</v>
      </c>
      <c r="AH64" s="4">
        <f t="shared" si="1"/>
        <v>10860200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1:65" s="4" customFormat="1">
      <c r="A65" s="4">
        <v>131</v>
      </c>
      <c r="B65" s="4" t="s">
        <v>421</v>
      </c>
      <c r="D65" s="4" t="s">
        <v>17</v>
      </c>
      <c r="F65" s="67">
        <v>5510252</v>
      </c>
      <c r="G65" s="67"/>
      <c r="H65" s="67">
        <v>0</v>
      </c>
      <c r="I65" s="67"/>
      <c r="J65" s="67">
        <v>3311727</v>
      </c>
      <c r="K65" s="67"/>
      <c r="L65" s="67">
        <v>111050</v>
      </c>
      <c r="M65" s="67"/>
      <c r="N65" s="67">
        <v>42646</v>
      </c>
      <c r="O65" s="67"/>
      <c r="P65" s="67">
        <v>0</v>
      </c>
      <c r="Q65" s="67"/>
      <c r="R65" s="67">
        <v>31852</v>
      </c>
      <c r="S65" s="67"/>
      <c r="T65" s="67">
        <v>6627</v>
      </c>
      <c r="U65" s="67"/>
      <c r="V65" s="67">
        <v>62588</v>
      </c>
      <c r="W65" s="67"/>
      <c r="X65" s="67">
        <v>0</v>
      </c>
      <c r="Y65" s="67"/>
      <c r="Z65" s="67">
        <v>0</v>
      </c>
      <c r="AA65" s="67"/>
      <c r="AB65" s="67">
        <v>0</v>
      </c>
      <c r="AC65" s="67"/>
      <c r="AD65" s="67">
        <v>0</v>
      </c>
      <c r="AE65" s="67"/>
      <c r="AF65" s="67">
        <v>0</v>
      </c>
      <c r="AH65" s="4">
        <f t="shared" si="1"/>
        <v>9076742</v>
      </c>
    </row>
    <row r="66" spans="1:65" s="4" customFormat="1">
      <c r="A66" s="4">
        <v>254</v>
      </c>
      <c r="B66" s="4" t="s">
        <v>422</v>
      </c>
      <c r="D66" s="4" t="s">
        <v>17</v>
      </c>
      <c r="F66" s="67">
        <v>27652041</v>
      </c>
      <c r="G66" s="67"/>
      <c r="H66" s="67">
        <v>0</v>
      </c>
      <c r="I66" s="67"/>
      <c r="J66" s="67">
        <v>29421415</v>
      </c>
      <c r="K66" s="67"/>
      <c r="L66" s="67">
        <v>444551</v>
      </c>
      <c r="M66" s="67"/>
      <c r="N66" s="67">
        <v>0</v>
      </c>
      <c r="O66" s="67"/>
      <c r="P66" s="67">
        <v>0</v>
      </c>
      <c r="Q66" s="67"/>
      <c r="R66" s="67">
        <v>0</v>
      </c>
      <c r="S66" s="67"/>
      <c r="T66" s="67">
        <v>339555</v>
      </c>
      <c r="U66" s="67"/>
      <c r="V66" s="67">
        <f>866975+2548967</f>
        <v>3415942</v>
      </c>
      <c r="W66" s="67"/>
      <c r="X66" s="67">
        <v>2099</v>
      </c>
      <c r="Y66" s="67"/>
      <c r="Z66" s="67">
        <v>0</v>
      </c>
      <c r="AA66" s="67"/>
      <c r="AB66" s="67">
        <v>0</v>
      </c>
      <c r="AC66" s="67"/>
      <c r="AD66" s="67">
        <v>0</v>
      </c>
      <c r="AE66" s="67"/>
      <c r="AF66" s="67">
        <v>0</v>
      </c>
      <c r="AH66" s="4">
        <f t="shared" si="1"/>
        <v>61275603</v>
      </c>
    </row>
    <row r="67" spans="1:65" s="4" customFormat="1">
      <c r="A67" s="4">
        <v>183</v>
      </c>
      <c r="B67" s="4" t="s">
        <v>115</v>
      </c>
      <c r="D67" s="4" t="s">
        <v>92</v>
      </c>
      <c r="F67" s="6">
        <v>147588.84</v>
      </c>
      <c r="G67" s="6"/>
      <c r="H67" s="6">
        <v>280408.15000000002</v>
      </c>
      <c r="I67" s="6"/>
      <c r="J67" s="6">
        <v>64173.08</v>
      </c>
      <c r="K67" s="6"/>
      <c r="L67" s="6">
        <v>12636.71</v>
      </c>
      <c r="M67" s="6"/>
      <c r="N67" s="6">
        <v>0</v>
      </c>
      <c r="O67" s="6"/>
      <c r="P67" s="6">
        <v>0</v>
      </c>
      <c r="Q67" s="6"/>
      <c r="R67" s="6">
        <v>47194.3</v>
      </c>
      <c r="S67" s="6"/>
      <c r="T67" s="6">
        <v>5338.23</v>
      </c>
      <c r="U67" s="6"/>
      <c r="V67" s="6">
        <v>1635.08</v>
      </c>
      <c r="W67" s="6"/>
      <c r="X67" s="6">
        <v>0</v>
      </c>
      <c r="Y67" s="6"/>
      <c r="Z67" s="6">
        <v>0</v>
      </c>
      <c r="AA67" s="6"/>
      <c r="AB67" s="6">
        <v>0</v>
      </c>
      <c r="AC67" s="6"/>
      <c r="AD67" s="6">
        <v>0</v>
      </c>
      <c r="AE67" s="6"/>
      <c r="AF67" s="6">
        <v>0</v>
      </c>
      <c r="AG67" s="6"/>
      <c r="AH67" s="6">
        <f>SUM(F67:AF67)</f>
        <v>558974.39</v>
      </c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spans="1:65" s="4" customFormat="1">
      <c r="A68" s="4">
        <v>258</v>
      </c>
      <c r="B68" s="4" t="s">
        <v>70</v>
      </c>
      <c r="D68" s="4" t="s">
        <v>48</v>
      </c>
      <c r="F68" s="6">
        <v>0</v>
      </c>
      <c r="G68" s="6"/>
      <c r="H68" s="6">
        <v>205898.93</v>
      </c>
      <c r="I68" s="6"/>
      <c r="J68" s="6">
        <v>0</v>
      </c>
      <c r="K68" s="6"/>
      <c r="L68" s="6">
        <v>6178.82</v>
      </c>
      <c r="M68" s="6"/>
      <c r="N68" s="6">
        <v>0</v>
      </c>
      <c r="O68" s="6"/>
      <c r="P68" s="6">
        <v>0</v>
      </c>
      <c r="Q68" s="6"/>
      <c r="R68" s="6">
        <v>2124</v>
      </c>
      <c r="S68" s="6"/>
      <c r="T68" s="6">
        <v>380.95</v>
      </c>
      <c r="U68" s="6"/>
      <c r="V68" s="6">
        <v>52.34</v>
      </c>
      <c r="W68" s="6"/>
      <c r="X68" s="6">
        <v>1025.75</v>
      </c>
      <c r="Y68" s="6"/>
      <c r="Z68" s="6">
        <v>0</v>
      </c>
      <c r="AA68" s="6"/>
      <c r="AB68" s="6">
        <v>0</v>
      </c>
      <c r="AC68" s="6"/>
      <c r="AD68" s="6">
        <v>0</v>
      </c>
      <c r="AE68" s="6"/>
      <c r="AF68" s="6">
        <v>0</v>
      </c>
      <c r="AG68" s="6"/>
      <c r="AH68" s="6">
        <f>SUM(F68:AF68)</f>
        <v>215660.79</v>
      </c>
    </row>
    <row r="69" spans="1:65" s="4" customFormat="1">
      <c r="A69" s="4">
        <v>71</v>
      </c>
      <c r="B69" s="35" t="s">
        <v>447</v>
      </c>
      <c r="C69" s="35"/>
      <c r="D69" s="35" t="s">
        <v>49</v>
      </c>
      <c r="E69" s="35"/>
      <c r="F69" s="6">
        <v>0</v>
      </c>
      <c r="G69" s="6"/>
      <c r="H69" s="6">
        <v>710435.19</v>
      </c>
      <c r="I69" s="6"/>
      <c r="J69" s="6">
        <v>0</v>
      </c>
      <c r="K69" s="6"/>
      <c r="L69" s="6">
        <v>33577.46</v>
      </c>
      <c r="M69" s="6"/>
      <c r="N69" s="6">
        <v>0</v>
      </c>
      <c r="O69" s="6"/>
      <c r="P69" s="6">
        <v>0</v>
      </c>
      <c r="Q69" s="6"/>
      <c r="R69" s="6">
        <v>2440</v>
      </c>
      <c r="S69" s="6"/>
      <c r="T69" s="6">
        <v>1242.19</v>
      </c>
      <c r="U69" s="6"/>
      <c r="V69" s="6">
        <v>8073.59</v>
      </c>
      <c r="W69" s="6"/>
      <c r="X69" s="6">
        <v>0</v>
      </c>
      <c r="Y69" s="6"/>
      <c r="Z69" s="6">
        <v>0</v>
      </c>
      <c r="AA69" s="6"/>
      <c r="AB69" s="6">
        <v>0</v>
      </c>
      <c r="AC69" s="6"/>
      <c r="AD69" s="6">
        <v>0</v>
      </c>
      <c r="AE69" s="6"/>
      <c r="AF69" s="6">
        <v>0</v>
      </c>
      <c r="AG69" s="6"/>
      <c r="AH69" s="6">
        <f>SUM(F69:AF69)</f>
        <v>755768.42999999982</v>
      </c>
    </row>
    <row r="70" spans="1:65" s="4" customFormat="1">
      <c r="A70" s="4">
        <v>260</v>
      </c>
      <c r="B70" s="4" t="s">
        <v>116</v>
      </c>
      <c r="D70" s="4" t="s">
        <v>90</v>
      </c>
      <c r="F70" s="67">
        <v>55911594</v>
      </c>
      <c r="G70" s="67"/>
      <c r="H70" s="67">
        <v>19954000</v>
      </c>
      <c r="I70" s="67"/>
      <c r="J70" s="67">
        <v>0</v>
      </c>
      <c r="K70" s="67"/>
      <c r="L70" s="67">
        <v>1534992</v>
      </c>
      <c r="M70" s="67"/>
      <c r="N70" s="67">
        <v>0</v>
      </c>
      <c r="O70" s="67"/>
      <c r="P70" s="67">
        <v>757925</v>
      </c>
      <c r="Q70" s="67"/>
      <c r="R70" s="67">
        <v>163228</v>
      </c>
      <c r="S70" s="67"/>
      <c r="T70" s="67">
        <v>238894</v>
      </c>
      <c r="U70" s="67"/>
      <c r="V70" s="67">
        <v>637371</v>
      </c>
      <c r="W70" s="67"/>
      <c r="X70" s="67">
        <v>0</v>
      </c>
      <c r="Y70" s="67"/>
      <c r="Z70" s="67">
        <v>3493588</v>
      </c>
      <c r="AA70" s="67"/>
      <c r="AB70" s="67">
        <v>44200</v>
      </c>
      <c r="AC70" s="67"/>
      <c r="AD70" s="67">
        <v>0</v>
      </c>
      <c r="AE70" s="67"/>
      <c r="AF70" s="67">
        <v>0</v>
      </c>
      <c r="AH70" s="4">
        <f t="shared" si="1"/>
        <v>82735792</v>
      </c>
    </row>
    <row r="71" spans="1:65" s="4" customFormat="1">
      <c r="A71" s="4">
        <v>175</v>
      </c>
      <c r="B71" s="4" t="s">
        <v>359</v>
      </c>
      <c r="D71" s="4" t="s">
        <v>68</v>
      </c>
      <c r="F71" s="6">
        <v>661569.16</v>
      </c>
      <c r="G71" s="6"/>
      <c r="H71" s="6">
        <v>547240.32999999996</v>
      </c>
      <c r="I71" s="6"/>
      <c r="J71" s="6">
        <v>17351.490000000002</v>
      </c>
      <c r="K71" s="6"/>
      <c r="L71" s="6">
        <v>21243.7</v>
      </c>
      <c r="M71" s="6"/>
      <c r="N71" s="6">
        <v>0</v>
      </c>
      <c r="O71" s="6"/>
      <c r="P71" s="6">
        <v>0</v>
      </c>
      <c r="Q71" s="6"/>
      <c r="R71" s="6">
        <v>9992.67</v>
      </c>
      <c r="S71" s="6"/>
      <c r="T71" s="6">
        <v>2586.75</v>
      </c>
      <c r="U71" s="6"/>
      <c r="V71" s="6">
        <v>1585.51</v>
      </c>
      <c r="W71" s="6"/>
      <c r="X71" s="6">
        <v>0</v>
      </c>
      <c r="Y71" s="6"/>
      <c r="Z71" s="6">
        <v>0</v>
      </c>
      <c r="AA71" s="6"/>
      <c r="AB71" s="6">
        <v>0</v>
      </c>
      <c r="AC71" s="6"/>
      <c r="AD71" s="6">
        <v>0</v>
      </c>
      <c r="AE71" s="6"/>
      <c r="AF71" s="6">
        <v>0</v>
      </c>
      <c r="AG71" s="6"/>
      <c r="AH71" s="6">
        <f>SUM(F71:AF71)</f>
        <v>1261569.6099999999</v>
      </c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spans="1:65" s="4" customFormat="1">
      <c r="A72" s="4">
        <v>94</v>
      </c>
      <c r="B72" s="4" t="s">
        <v>117</v>
      </c>
      <c r="D72" s="4" t="s">
        <v>41</v>
      </c>
      <c r="F72" s="67">
        <v>438040</v>
      </c>
      <c r="G72" s="67"/>
      <c r="H72" s="67">
        <v>0</v>
      </c>
      <c r="I72" s="67"/>
      <c r="J72" s="67">
        <v>0</v>
      </c>
      <c r="K72" s="67"/>
      <c r="L72" s="67">
        <v>6248</v>
      </c>
      <c r="M72" s="67"/>
      <c r="N72" s="67">
        <v>0</v>
      </c>
      <c r="O72" s="67"/>
      <c r="P72" s="67">
        <v>150</v>
      </c>
      <c r="Q72" s="67"/>
      <c r="R72" s="67">
        <v>3879</v>
      </c>
      <c r="S72" s="67"/>
      <c r="T72" s="67">
        <v>2905</v>
      </c>
      <c r="U72" s="67"/>
      <c r="V72" s="67">
        <v>9667</v>
      </c>
      <c r="W72" s="67"/>
      <c r="X72" s="67">
        <v>0</v>
      </c>
      <c r="Y72" s="67"/>
      <c r="Z72" s="67">
        <v>0</v>
      </c>
      <c r="AA72" s="67"/>
      <c r="AB72" s="67">
        <v>0</v>
      </c>
      <c r="AC72" s="67"/>
      <c r="AD72" s="67">
        <v>0</v>
      </c>
      <c r="AE72" s="67"/>
      <c r="AF72" s="67">
        <v>0</v>
      </c>
      <c r="AH72" s="4">
        <f t="shared" si="1"/>
        <v>460889</v>
      </c>
    </row>
    <row r="73" spans="1:65" s="4" customFormat="1">
      <c r="A73" s="4">
        <v>61</v>
      </c>
      <c r="B73" s="4" t="s">
        <v>118</v>
      </c>
      <c r="D73" s="4" t="s">
        <v>119</v>
      </c>
      <c r="F73" s="67">
        <v>0</v>
      </c>
      <c r="G73" s="67"/>
      <c r="H73" s="67">
        <v>1101287</v>
      </c>
      <c r="I73" s="67"/>
      <c r="J73" s="67">
        <v>0</v>
      </c>
      <c r="K73" s="67"/>
      <c r="L73" s="67">
        <v>31635</v>
      </c>
      <c r="M73" s="67"/>
      <c r="N73" s="67">
        <v>0</v>
      </c>
      <c r="O73" s="67"/>
      <c r="P73" s="67">
        <v>0</v>
      </c>
      <c r="Q73" s="67"/>
      <c r="R73" s="67">
        <v>1827</v>
      </c>
      <c r="S73" s="67"/>
      <c r="T73" s="67">
        <v>6941</v>
      </c>
      <c r="U73" s="67"/>
      <c r="V73" s="67">
        <v>7715</v>
      </c>
      <c r="W73" s="67"/>
      <c r="X73" s="67">
        <v>0</v>
      </c>
      <c r="Y73" s="67"/>
      <c r="Z73" s="67">
        <v>0</v>
      </c>
      <c r="AA73" s="67"/>
      <c r="AB73" s="67">
        <v>0</v>
      </c>
      <c r="AC73" s="67"/>
      <c r="AD73" s="67">
        <v>0</v>
      </c>
      <c r="AE73" s="67"/>
      <c r="AF73" s="67">
        <v>0</v>
      </c>
      <c r="AH73" s="4">
        <f t="shared" si="1"/>
        <v>1149405</v>
      </c>
    </row>
    <row r="74" spans="1:65" s="4" customFormat="1">
      <c r="A74" s="4">
        <v>30</v>
      </c>
      <c r="B74" s="35" t="s">
        <v>120</v>
      </c>
      <c r="C74" s="35"/>
      <c r="D74" s="35" t="s">
        <v>50</v>
      </c>
      <c r="E74" s="35"/>
      <c r="F74" s="6">
        <v>0</v>
      </c>
      <c r="G74" s="6"/>
      <c r="H74" s="6">
        <v>402772.47999999998</v>
      </c>
      <c r="I74" s="6"/>
      <c r="J74" s="6">
        <v>0</v>
      </c>
      <c r="K74" s="6"/>
      <c r="L74" s="6">
        <v>11009.2</v>
      </c>
      <c r="M74" s="6"/>
      <c r="N74" s="6">
        <v>0</v>
      </c>
      <c r="O74" s="6"/>
      <c r="P74" s="6">
        <v>0</v>
      </c>
      <c r="Q74" s="6"/>
      <c r="R74" s="6">
        <v>2484.37</v>
      </c>
      <c r="S74" s="6"/>
      <c r="T74" s="6">
        <v>22865.33</v>
      </c>
      <c r="U74" s="6"/>
      <c r="V74" s="6">
        <v>1823.73</v>
      </c>
      <c r="W74" s="6"/>
      <c r="X74" s="6">
        <v>0</v>
      </c>
      <c r="Y74" s="6"/>
      <c r="Z74" s="6">
        <v>0</v>
      </c>
      <c r="AA74" s="6"/>
      <c r="AB74" s="6">
        <v>0</v>
      </c>
      <c r="AC74" s="6"/>
      <c r="AD74" s="6">
        <v>0</v>
      </c>
      <c r="AE74" s="6"/>
      <c r="AF74" s="6">
        <v>0</v>
      </c>
      <c r="AG74" s="6"/>
      <c r="AH74" s="6">
        <f>SUM(F74:AF74)</f>
        <v>440955.11</v>
      </c>
    </row>
    <row r="75" spans="1:65" s="4" customFormat="1">
      <c r="A75" s="4">
        <v>252</v>
      </c>
      <c r="B75" s="4" t="s">
        <v>585</v>
      </c>
      <c r="D75" s="4" t="s">
        <v>17</v>
      </c>
      <c r="F75" s="67">
        <v>39214412</v>
      </c>
      <c r="G75" s="67"/>
      <c r="H75" s="67">
        <v>0</v>
      </c>
      <c r="I75" s="67"/>
      <c r="J75" s="67">
        <v>27657923</v>
      </c>
      <c r="K75" s="67"/>
      <c r="L75" s="67">
        <v>1319361</v>
      </c>
      <c r="M75" s="67"/>
      <c r="N75" s="67">
        <v>26573</v>
      </c>
      <c r="O75" s="67"/>
      <c r="P75" s="67">
        <v>0</v>
      </c>
      <c r="Q75" s="67"/>
      <c r="R75" s="67">
        <v>1082514</v>
      </c>
      <c r="S75" s="67"/>
      <c r="T75" s="67">
        <v>58166</v>
      </c>
      <c r="U75" s="67"/>
      <c r="V75" s="67">
        <f>83911+65294</f>
        <v>149205</v>
      </c>
      <c r="W75" s="67"/>
      <c r="X75" s="67">
        <v>7905</v>
      </c>
      <c r="Y75" s="67"/>
      <c r="Z75" s="67">
        <v>0</v>
      </c>
      <c r="AA75" s="67"/>
      <c r="AB75" s="67">
        <v>0</v>
      </c>
      <c r="AC75" s="67"/>
      <c r="AD75" s="67">
        <v>0</v>
      </c>
      <c r="AE75" s="67"/>
      <c r="AF75" s="67">
        <v>0</v>
      </c>
      <c r="AH75" s="4">
        <f t="shared" si="1"/>
        <v>69516059</v>
      </c>
    </row>
    <row r="76" spans="1:65" s="4" customFormat="1">
      <c r="B76" s="4" t="s">
        <v>606</v>
      </c>
      <c r="D76" s="4" t="s">
        <v>20</v>
      </c>
      <c r="F76" s="67">
        <v>978692</v>
      </c>
      <c r="G76" s="67"/>
      <c r="H76" s="67">
        <v>1322436</v>
      </c>
      <c r="I76" s="67"/>
      <c r="J76" s="67">
        <v>0</v>
      </c>
      <c r="K76" s="67"/>
      <c r="L76" s="67">
        <v>11257</v>
      </c>
      <c r="M76" s="67"/>
      <c r="N76" s="67">
        <v>0</v>
      </c>
      <c r="O76" s="67"/>
      <c r="P76" s="67">
        <v>0</v>
      </c>
      <c r="Q76" s="67"/>
      <c r="R76" s="67">
        <v>9559</v>
      </c>
      <c r="S76" s="67"/>
      <c r="T76" s="67">
        <v>1008</v>
      </c>
      <c r="U76" s="67"/>
      <c r="V76" s="67">
        <v>8654</v>
      </c>
      <c r="W76" s="67"/>
      <c r="X76" s="67">
        <v>0</v>
      </c>
      <c r="Y76" s="67"/>
      <c r="Z76" s="67">
        <v>0</v>
      </c>
      <c r="AA76" s="67"/>
      <c r="AB76" s="67">
        <v>0</v>
      </c>
      <c r="AC76" s="67"/>
      <c r="AD76" s="67">
        <v>0</v>
      </c>
      <c r="AE76" s="67"/>
      <c r="AF76" s="67">
        <v>0</v>
      </c>
      <c r="AH76" s="4">
        <f t="shared" si="1"/>
        <v>2331606</v>
      </c>
    </row>
    <row r="77" spans="1:65" s="4" customFormat="1">
      <c r="A77" s="4">
        <v>8</v>
      </c>
      <c r="B77" s="4" t="s">
        <v>122</v>
      </c>
      <c r="D77" s="4" t="s">
        <v>53</v>
      </c>
      <c r="F77" s="67">
        <v>11623962</v>
      </c>
      <c r="G77" s="67"/>
      <c r="H77" s="67">
        <v>0</v>
      </c>
      <c r="I77" s="67"/>
      <c r="J77" s="67">
        <v>17603989</v>
      </c>
      <c r="K77" s="67"/>
      <c r="L77" s="67">
        <v>622947</v>
      </c>
      <c r="M77" s="67"/>
      <c r="N77" s="67">
        <v>0</v>
      </c>
      <c r="O77" s="67"/>
      <c r="P77" s="67">
        <v>98457</v>
      </c>
      <c r="Q77" s="67"/>
      <c r="R77" s="67">
        <v>59454</v>
      </c>
      <c r="S77" s="67"/>
      <c r="T77" s="67">
        <v>49921</v>
      </c>
      <c r="U77" s="67"/>
      <c r="V77" s="67">
        <v>41362</v>
      </c>
      <c r="W77" s="67"/>
      <c r="X77" s="67">
        <v>24736</v>
      </c>
      <c r="Y77" s="67"/>
      <c r="Z77" s="67">
        <v>3000000</v>
      </c>
      <c r="AA77" s="67"/>
      <c r="AB77" s="67">
        <v>0</v>
      </c>
      <c r="AC77" s="67"/>
      <c r="AD77" s="67">
        <v>0</v>
      </c>
      <c r="AE77" s="67"/>
      <c r="AF77" s="67">
        <v>0</v>
      </c>
      <c r="AH77" s="4">
        <f t="shared" si="1"/>
        <v>33124828</v>
      </c>
    </row>
    <row r="78" spans="1:65" s="4" customFormat="1">
      <c r="A78" s="4">
        <v>238</v>
      </c>
      <c r="B78" s="4" t="s">
        <v>123</v>
      </c>
      <c r="D78" s="4" t="s">
        <v>124</v>
      </c>
      <c r="F78" s="67">
        <v>448382</v>
      </c>
      <c r="G78" s="67"/>
      <c r="H78" s="67">
        <v>1186174</v>
      </c>
      <c r="I78" s="67"/>
      <c r="J78" s="67">
        <v>65381</v>
      </c>
      <c r="K78" s="67"/>
      <c r="L78" s="67">
        <v>25016</v>
      </c>
      <c r="M78" s="67"/>
      <c r="N78" s="67">
        <v>0</v>
      </c>
      <c r="O78" s="67"/>
      <c r="P78" s="67">
        <v>0</v>
      </c>
      <c r="Q78" s="67"/>
      <c r="R78" s="67">
        <v>3055</v>
      </c>
      <c r="S78" s="67"/>
      <c r="T78" s="67">
        <v>4126</v>
      </c>
      <c r="U78" s="67"/>
      <c r="V78" s="67">
        <f>11059+3857</f>
        <v>14916</v>
      </c>
      <c r="W78" s="67"/>
      <c r="X78" s="67">
        <v>3348</v>
      </c>
      <c r="Y78" s="67"/>
      <c r="Z78" s="67">
        <v>0</v>
      </c>
      <c r="AA78" s="67"/>
      <c r="AB78" s="67">
        <v>0</v>
      </c>
      <c r="AC78" s="67"/>
      <c r="AD78" s="67">
        <v>0</v>
      </c>
      <c r="AE78" s="67"/>
      <c r="AF78" s="67">
        <v>0</v>
      </c>
      <c r="AH78" s="4">
        <f t="shared" si="1"/>
        <v>1750398</v>
      </c>
    </row>
    <row r="79" spans="1:65" s="4" customFormat="1">
      <c r="A79" s="4">
        <v>82</v>
      </c>
      <c r="B79" s="4" t="s">
        <v>125</v>
      </c>
      <c r="D79" s="4" t="s">
        <v>68</v>
      </c>
      <c r="F79" s="67">
        <v>4261342</v>
      </c>
      <c r="G79" s="67"/>
      <c r="H79" s="67">
        <v>1908957</v>
      </c>
      <c r="I79" s="67"/>
      <c r="J79" s="67">
        <v>550048</v>
      </c>
      <c r="K79" s="67"/>
      <c r="L79" s="67">
        <v>65980</v>
      </c>
      <c r="M79" s="67"/>
      <c r="N79" s="67">
        <v>0</v>
      </c>
      <c r="O79" s="67"/>
      <c r="P79" s="67">
        <v>385</v>
      </c>
      <c r="Q79" s="67"/>
      <c r="R79" s="67">
        <v>116471</v>
      </c>
      <c r="S79" s="67"/>
      <c r="T79" s="67">
        <v>13600</v>
      </c>
      <c r="U79" s="67"/>
      <c r="V79" s="67">
        <v>31973</v>
      </c>
      <c r="W79" s="67"/>
      <c r="X79" s="67">
        <v>0</v>
      </c>
      <c r="Y79" s="67"/>
      <c r="Z79" s="67">
        <v>24358</v>
      </c>
      <c r="AA79" s="67"/>
      <c r="AB79" s="67">
        <v>0</v>
      </c>
      <c r="AC79" s="67"/>
      <c r="AD79" s="67">
        <v>0</v>
      </c>
      <c r="AE79" s="67"/>
      <c r="AF79" s="67">
        <v>0</v>
      </c>
      <c r="AH79" s="4">
        <f t="shared" si="1"/>
        <v>6973114</v>
      </c>
    </row>
    <row r="80" spans="1:65" s="4" customFormat="1">
      <c r="A80" s="4">
        <v>41</v>
      </c>
      <c r="B80" s="35" t="s">
        <v>126</v>
      </c>
      <c r="C80" s="35"/>
      <c r="D80" s="35" t="s">
        <v>95</v>
      </c>
      <c r="E80" s="35"/>
      <c r="F80" s="15">
        <v>50217.760000000002</v>
      </c>
      <c r="G80" s="15"/>
      <c r="H80" s="15">
        <v>321140.86</v>
      </c>
      <c r="I80" s="15"/>
      <c r="J80" s="15">
        <v>20106.89</v>
      </c>
      <c r="K80" s="15"/>
      <c r="L80" s="15">
        <v>7111.47</v>
      </c>
      <c r="M80" s="15"/>
      <c r="N80" s="15">
        <v>0</v>
      </c>
      <c r="O80" s="15"/>
      <c r="P80" s="15">
        <v>0</v>
      </c>
      <c r="Q80" s="15"/>
      <c r="R80" s="15">
        <v>24159.8</v>
      </c>
      <c r="S80" s="15"/>
      <c r="T80" s="15">
        <v>3215.84</v>
      </c>
      <c r="U80" s="15"/>
      <c r="V80" s="15">
        <v>11648.19</v>
      </c>
      <c r="W80" s="15"/>
      <c r="X80" s="15">
        <v>0</v>
      </c>
      <c r="Y80" s="15"/>
      <c r="Z80" s="15">
        <v>0</v>
      </c>
      <c r="AA80" s="15"/>
      <c r="AB80" s="15">
        <v>0</v>
      </c>
      <c r="AC80" s="15"/>
      <c r="AD80" s="15">
        <v>0</v>
      </c>
      <c r="AE80" s="15"/>
      <c r="AF80" s="15">
        <v>0</v>
      </c>
      <c r="AG80" s="15"/>
      <c r="AH80" s="15">
        <f>SUM(F80:AF80)</f>
        <v>437600.81</v>
      </c>
    </row>
    <row r="81" spans="1:65" s="7" customFormat="1">
      <c r="A81" s="4">
        <v>14</v>
      </c>
      <c r="B81" s="4" t="s">
        <v>127</v>
      </c>
      <c r="C81" s="4"/>
      <c r="D81" s="4" t="s">
        <v>40</v>
      </c>
      <c r="E81" s="4"/>
      <c r="F81" s="6">
        <v>93481.57</v>
      </c>
      <c r="G81" s="6"/>
      <c r="H81" s="6">
        <v>226605.5</v>
      </c>
      <c r="I81" s="6"/>
      <c r="J81" s="6">
        <v>30094.59</v>
      </c>
      <c r="K81" s="6"/>
      <c r="L81" s="6">
        <v>10353.67</v>
      </c>
      <c r="M81" s="6"/>
      <c r="N81" s="6">
        <v>0</v>
      </c>
      <c r="O81" s="6"/>
      <c r="P81" s="6">
        <v>0</v>
      </c>
      <c r="Q81" s="6"/>
      <c r="R81" s="6">
        <v>9910.18</v>
      </c>
      <c r="S81" s="6"/>
      <c r="T81" s="6">
        <v>1301.79</v>
      </c>
      <c r="U81" s="6"/>
      <c r="V81" s="6">
        <v>1801.72</v>
      </c>
      <c r="W81" s="6"/>
      <c r="X81" s="6">
        <v>5</v>
      </c>
      <c r="Y81" s="6"/>
      <c r="Z81" s="6">
        <v>0</v>
      </c>
      <c r="AA81" s="6"/>
      <c r="AB81" s="6">
        <v>0</v>
      </c>
      <c r="AC81" s="6"/>
      <c r="AD81" s="6">
        <v>0</v>
      </c>
      <c r="AE81" s="6"/>
      <c r="AF81" s="6">
        <v>0</v>
      </c>
      <c r="AG81" s="6"/>
      <c r="AH81" s="6">
        <f>SUM(F81:AF81)</f>
        <v>373554.01999999996</v>
      </c>
    </row>
    <row r="82" spans="1:65" s="4" customFormat="1">
      <c r="A82" s="4">
        <v>256</v>
      </c>
      <c r="B82" s="4" t="s">
        <v>128</v>
      </c>
      <c r="D82" s="4" t="s">
        <v>61</v>
      </c>
      <c r="F82" s="67">
        <v>141137</v>
      </c>
      <c r="G82" s="67"/>
      <c r="H82" s="67">
        <v>251139</v>
      </c>
      <c r="I82" s="67"/>
      <c r="J82" s="67">
        <v>0</v>
      </c>
      <c r="K82" s="67"/>
      <c r="L82" s="67">
        <v>9216</v>
      </c>
      <c r="M82" s="67"/>
      <c r="N82" s="67">
        <v>0</v>
      </c>
      <c r="O82" s="67"/>
      <c r="P82" s="67">
        <v>0</v>
      </c>
      <c r="Q82" s="67"/>
      <c r="R82" s="67">
        <v>15070</v>
      </c>
      <c r="S82" s="67"/>
      <c r="T82" s="67">
        <v>1772</v>
      </c>
      <c r="U82" s="67"/>
      <c r="V82" s="67">
        <v>0</v>
      </c>
      <c r="W82" s="67"/>
      <c r="X82" s="67">
        <v>0</v>
      </c>
      <c r="Y82" s="67"/>
      <c r="Z82" s="67">
        <v>0</v>
      </c>
      <c r="AA82" s="67"/>
      <c r="AB82" s="67">
        <v>0</v>
      </c>
      <c r="AC82" s="67"/>
      <c r="AD82" s="67">
        <v>0</v>
      </c>
      <c r="AE82" s="67"/>
      <c r="AF82" s="67">
        <v>0</v>
      </c>
      <c r="AH82" s="4">
        <f t="shared" si="1"/>
        <v>418334</v>
      </c>
    </row>
    <row r="83" spans="1:65" s="4" customFormat="1">
      <c r="A83" s="4">
        <v>250</v>
      </c>
      <c r="B83" s="4" t="s">
        <v>129</v>
      </c>
      <c r="D83" s="4" t="s">
        <v>24</v>
      </c>
      <c r="F83" s="67">
        <v>0</v>
      </c>
      <c r="G83" s="67"/>
      <c r="H83" s="67">
        <v>598164</v>
      </c>
      <c r="I83" s="67"/>
      <c r="J83" s="67">
        <v>0</v>
      </c>
      <c r="K83" s="67"/>
      <c r="L83" s="67">
        <v>27002</v>
      </c>
      <c r="M83" s="67"/>
      <c r="N83" s="67">
        <v>0</v>
      </c>
      <c r="O83" s="67"/>
      <c r="P83" s="67">
        <v>0</v>
      </c>
      <c r="Q83" s="67"/>
      <c r="R83" s="67">
        <v>5845</v>
      </c>
      <c r="S83" s="67"/>
      <c r="T83" s="67">
        <v>764</v>
      </c>
      <c r="U83" s="67"/>
      <c r="V83" s="67">
        <v>9280</v>
      </c>
      <c r="W83" s="67"/>
      <c r="X83" s="67">
        <v>0</v>
      </c>
      <c r="Y83" s="67"/>
      <c r="Z83" s="67">
        <v>0</v>
      </c>
      <c r="AA83" s="67"/>
      <c r="AB83" s="67">
        <v>0</v>
      </c>
      <c r="AC83" s="67"/>
      <c r="AD83" s="67">
        <v>0</v>
      </c>
      <c r="AE83" s="67"/>
      <c r="AF83" s="67">
        <v>0</v>
      </c>
      <c r="AH83" s="4">
        <f t="shared" si="1"/>
        <v>641055</v>
      </c>
    </row>
    <row r="84" spans="1:65" s="4" customFormat="1">
      <c r="A84" s="4">
        <v>3</v>
      </c>
      <c r="B84" s="4" t="s">
        <v>300</v>
      </c>
      <c r="D84" s="4" t="s">
        <v>130</v>
      </c>
      <c r="F84" s="6">
        <v>811872.41</v>
      </c>
      <c r="G84" s="6"/>
      <c r="H84" s="6">
        <v>944894.92</v>
      </c>
      <c r="I84" s="6"/>
      <c r="J84" s="6">
        <v>99889.54</v>
      </c>
      <c r="K84" s="6"/>
      <c r="L84" s="6">
        <v>39896.1</v>
      </c>
      <c r="M84" s="6"/>
      <c r="N84" s="6">
        <v>0</v>
      </c>
      <c r="O84" s="6"/>
      <c r="P84" s="6">
        <v>0</v>
      </c>
      <c r="Q84" s="6"/>
      <c r="R84" s="6">
        <v>4911</v>
      </c>
      <c r="S84" s="6"/>
      <c r="T84" s="6">
        <v>7344.76</v>
      </c>
      <c r="U84" s="6"/>
      <c r="V84" s="6">
        <v>20799.03</v>
      </c>
      <c r="W84" s="6"/>
      <c r="X84" s="6">
        <v>585.21</v>
      </c>
      <c r="Y84" s="6"/>
      <c r="Z84" s="6">
        <v>0</v>
      </c>
      <c r="AA84" s="6"/>
      <c r="AB84" s="6">
        <v>0</v>
      </c>
      <c r="AC84" s="6"/>
      <c r="AD84" s="6">
        <v>0</v>
      </c>
      <c r="AE84" s="6"/>
      <c r="AF84" s="6">
        <v>0</v>
      </c>
      <c r="AG84" s="6"/>
      <c r="AH84" s="6">
        <f>SUM(F84:AF84)</f>
        <v>1930192.9700000002</v>
      </c>
    </row>
    <row r="85" spans="1:65" s="4" customFormat="1">
      <c r="A85" s="4">
        <v>235</v>
      </c>
      <c r="B85" s="4" t="s">
        <v>131</v>
      </c>
      <c r="D85" s="4" t="s">
        <v>85</v>
      </c>
      <c r="F85" s="67">
        <v>20454</v>
      </c>
      <c r="G85" s="67"/>
      <c r="H85" s="67">
        <v>51236</v>
      </c>
      <c r="I85" s="67"/>
      <c r="J85" s="67">
        <v>3098</v>
      </c>
      <c r="K85" s="67"/>
      <c r="L85" s="67">
        <v>88</v>
      </c>
      <c r="M85" s="67"/>
      <c r="N85" s="67">
        <v>0</v>
      </c>
      <c r="O85" s="67"/>
      <c r="P85" s="67">
        <v>0</v>
      </c>
      <c r="Q85" s="67"/>
      <c r="R85" s="67">
        <v>103</v>
      </c>
      <c r="S85" s="67"/>
      <c r="T85" s="67">
        <v>1060</v>
      </c>
      <c r="U85" s="67"/>
      <c r="V85" s="67">
        <v>914</v>
      </c>
      <c r="W85" s="67"/>
      <c r="X85" s="67">
        <v>0</v>
      </c>
      <c r="Y85" s="67"/>
      <c r="Z85" s="67">
        <v>0</v>
      </c>
      <c r="AA85" s="67"/>
      <c r="AB85" s="67">
        <v>0</v>
      </c>
      <c r="AC85" s="67"/>
      <c r="AD85" s="67">
        <v>0</v>
      </c>
      <c r="AE85" s="67"/>
      <c r="AF85" s="67">
        <v>0</v>
      </c>
      <c r="AH85" s="4">
        <f t="shared" ref="AH85" si="2">SUM(F85:AF85)</f>
        <v>76953</v>
      </c>
    </row>
    <row r="86" spans="1:65" s="4" customFormat="1">
      <c r="A86" s="4">
        <v>123</v>
      </c>
      <c r="B86" s="35" t="s">
        <v>449</v>
      </c>
      <c r="C86" s="35"/>
      <c r="D86" s="35" t="s">
        <v>17</v>
      </c>
      <c r="E86" s="35"/>
      <c r="F86" s="74">
        <v>956614.49</v>
      </c>
      <c r="G86" s="74"/>
      <c r="H86" s="74">
        <v>1212123.6200000001</v>
      </c>
      <c r="I86" s="74"/>
      <c r="J86" s="74">
        <v>361581.59</v>
      </c>
      <c r="K86" s="74"/>
      <c r="L86" s="74">
        <v>6755.03</v>
      </c>
      <c r="M86" s="74"/>
      <c r="N86" s="74">
        <v>0</v>
      </c>
      <c r="O86" s="74"/>
      <c r="P86" s="74">
        <v>0</v>
      </c>
      <c r="Q86" s="74"/>
      <c r="R86" s="74">
        <v>10258.1</v>
      </c>
      <c r="S86" s="74"/>
      <c r="T86" s="74">
        <v>101.56</v>
      </c>
      <c r="U86" s="74"/>
      <c r="V86" s="74">
        <v>42070.23</v>
      </c>
      <c r="W86" s="74"/>
      <c r="X86" s="74">
        <v>14300</v>
      </c>
      <c r="Y86" s="74"/>
      <c r="Z86" s="74">
        <v>0</v>
      </c>
      <c r="AA86" s="74"/>
      <c r="AB86" s="74">
        <v>0</v>
      </c>
      <c r="AC86" s="74"/>
      <c r="AD86" s="74">
        <v>0</v>
      </c>
      <c r="AE86" s="74"/>
      <c r="AF86" s="74">
        <v>0</v>
      </c>
      <c r="AG86" s="74"/>
      <c r="AH86" s="74">
        <f>SUM(F86:AF86)</f>
        <v>2603804.62</v>
      </c>
    </row>
    <row r="87" spans="1:65" s="4" customFormat="1">
      <c r="A87" s="4">
        <v>148</v>
      </c>
      <c r="B87" s="4" t="s">
        <v>556</v>
      </c>
      <c r="D87" s="4" t="s">
        <v>49</v>
      </c>
      <c r="F87" s="6">
        <v>0</v>
      </c>
      <c r="G87" s="6"/>
      <c r="H87" s="6">
        <v>548690.56999999995</v>
      </c>
      <c r="I87" s="6"/>
      <c r="J87" s="6">
        <v>0</v>
      </c>
      <c r="K87" s="6"/>
      <c r="L87" s="6">
        <v>6488.67</v>
      </c>
      <c r="M87" s="6"/>
      <c r="N87" s="6">
        <v>0</v>
      </c>
      <c r="O87" s="6"/>
      <c r="P87" s="6">
        <v>0</v>
      </c>
      <c r="Q87" s="6"/>
      <c r="R87" s="6">
        <v>3474.25</v>
      </c>
      <c r="S87" s="6"/>
      <c r="T87" s="6">
        <v>727.04</v>
      </c>
      <c r="U87" s="6"/>
      <c r="V87" s="6">
        <v>17287.75</v>
      </c>
      <c r="W87" s="6"/>
      <c r="X87" s="6">
        <v>0</v>
      </c>
      <c r="Y87" s="6"/>
      <c r="Z87" s="6">
        <v>0</v>
      </c>
      <c r="AA87" s="6"/>
      <c r="AB87" s="6">
        <v>0</v>
      </c>
      <c r="AC87" s="6"/>
      <c r="AD87" s="6">
        <v>0</v>
      </c>
      <c r="AE87" s="6"/>
      <c r="AF87" s="6">
        <v>0</v>
      </c>
      <c r="AG87" s="6"/>
      <c r="AH87" s="6">
        <f>SUM(F87:AF87)</f>
        <v>576668.28</v>
      </c>
    </row>
    <row r="88" spans="1:65" s="4" customFormat="1">
      <c r="N88" s="35"/>
      <c r="P88" s="35"/>
      <c r="R88" s="35"/>
      <c r="X88" s="35"/>
      <c r="Z88" s="35"/>
      <c r="AB88" s="35"/>
      <c r="AD88" s="35"/>
      <c r="AF88" s="3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s="4" customFormat="1">
      <c r="N89" s="35"/>
      <c r="P89" s="35"/>
      <c r="R89" s="35"/>
      <c r="X89" s="35"/>
      <c r="Z89" s="35"/>
      <c r="AB89" s="35"/>
      <c r="AD89" s="35"/>
      <c r="AF89" s="35"/>
      <c r="AH89" s="43" t="s">
        <v>580</v>
      </c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>
      <c r="B90" s="3" t="s">
        <v>516</v>
      </c>
    </row>
    <row r="91" spans="1:65">
      <c r="B91" s="3" t="s">
        <v>626</v>
      </c>
    </row>
    <row r="92" spans="1:65">
      <c r="B92" s="41" t="s">
        <v>5</v>
      </c>
    </row>
    <row r="93" spans="1:65" s="36" customFormat="1">
      <c r="H93" s="36" t="s">
        <v>280</v>
      </c>
    </row>
    <row r="94" spans="1:65" s="36" customFormat="1">
      <c r="F94" s="36" t="s">
        <v>29</v>
      </c>
      <c r="H94" s="36" t="s">
        <v>281</v>
      </c>
      <c r="P94" s="36" t="s">
        <v>27</v>
      </c>
      <c r="R94" s="36" t="s">
        <v>287</v>
      </c>
      <c r="X94" s="36" t="s">
        <v>292</v>
      </c>
      <c r="AD94" s="36" t="s">
        <v>0</v>
      </c>
    </row>
    <row r="95" spans="1:65" s="36" customFormat="1" ht="12" customHeight="1">
      <c r="F95" s="36" t="s">
        <v>0</v>
      </c>
      <c r="H95" s="36" t="s">
        <v>282</v>
      </c>
      <c r="J95" s="36" t="s">
        <v>344</v>
      </c>
      <c r="L95" s="36" t="s">
        <v>284</v>
      </c>
      <c r="P95" s="36" t="s">
        <v>286</v>
      </c>
      <c r="R95" s="36" t="s">
        <v>288</v>
      </c>
      <c r="T95" s="36" t="s">
        <v>290</v>
      </c>
      <c r="X95" s="36" t="s">
        <v>293</v>
      </c>
      <c r="AD95" s="36" t="s">
        <v>294</v>
      </c>
      <c r="AF95" s="36" t="s">
        <v>552</v>
      </c>
    </row>
    <row r="96" spans="1:65" s="36" customFormat="1" ht="12" customHeight="1">
      <c r="A96" s="36" t="s">
        <v>567</v>
      </c>
      <c r="B96" s="37" t="s">
        <v>3</v>
      </c>
      <c r="D96" s="37" t="s">
        <v>4</v>
      </c>
      <c r="F96" s="37" t="s">
        <v>279</v>
      </c>
      <c r="H96" s="37" t="s">
        <v>283</v>
      </c>
      <c r="I96" s="44"/>
      <c r="J96" s="37" t="s">
        <v>345</v>
      </c>
      <c r="L96" s="37" t="s">
        <v>285</v>
      </c>
      <c r="N96" s="37" t="s">
        <v>549</v>
      </c>
      <c r="P96" s="37" t="s">
        <v>551</v>
      </c>
      <c r="R96" s="37" t="s">
        <v>289</v>
      </c>
      <c r="T96" s="37" t="s">
        <v>291</v>
      </c>
      <c r="V96" s="37" t="s">
        <v>1</v>
      </c>
      <c r="X96" s="37" t="s">
        <v>30</v>
      </c>
      <c r="Z96" s="37" t="s">
        <v>502</v>
      </c>
      <c r="AB96" s="37" t="s">
        <v>503</v>
      </c>
      <c r="AD96" s="37" t="s">
        <v>295</v>
      </c>
      <c r="AF96" s="37" t="s">
        <v>418</v>
      </c>
      <c r="AH96" s="45" t="s">
        <v>26</v>
      </c>
    </row>
    <row r="97" spans="1:65" s="4" customFormat="1">
      <c r="A97" s="4">
        <v>151.1</v>
      </c>
      <c r="B97" s="38" t="s">
        <v>132</v>
      </c>
      <c r="C97" s="38"/>
      <c r="D97" s="38" t="s">
        <v>49</v>
      </c>
      <c r="E97" s="38"/>
      <c r="F97" s="75">
        <v>0</v>
      </c>
      <c r="G97" s="75"/>
      <c r="H97" s="75">
        <v>352080.06</v>
      </c>
      <c r="I97" s="75"/>
      <c r="J97" s="75">
        <v>0</v>
      </c>
      <c r="K97" s="75"/>
      <c r="L97" s="75">
        <v>17394.3</v>
      </c>
      <c r="M97" s="75"/>
      <c r="N97" s="75">
        <v>0</v>
      </c>
      <c r="O97" s="75"/>
      <c r="P97" s="75">
        <v>0</v>
      </c>
      <c r="Q97" s="75"/>
      <c r="R97" s="75">
        <v>1036.1199999999999</v>
      </c>
      <c r="S97" s="75"/>
      <c r="T97" s="75">
        <v>1769.9</v>
      </c>
      <c r="U97" s="75"/>
      <c r="V97" s="75">
        <v>875</v>
      </c>
      <c r="W97" s="75"/>
      <c r="X97" s="75">
        <v>0</v>
      </c>
      <c r="Y97" s="75"/>
      <c r="Z97" s="75">
        <v>0</v>
      </c>
      <c r="AA97" s="75"/>
      <c r="AB97" s="75">
        <v>0</v>
      </c>
      <c r="AC97" s="75"/>
      <c r="AD97" s="75">
        <v>0</v>
      </c>
      <c r="AE97" s="75"/>
      <c r="AF97" s="75">
        <v>0</v>
      </c>
      <c r="AG97" s="75"/>
      <c r="AH97" s="75">
        <f>SUM(F97:AF97)</f>
        <v>373155.38</v>
      </c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s="4" customFormat="1">
      <c r="A98" s="4">
        <v>86</v>
      </c>
      <c r="B98" s="4" t="s">
        <v>423</v>
      </c>
      <c r="D98" s="4" t="s">
        <v>18</v>
      </c>
      <c r="F98" s="1">
        <v>935152</v>
      </c>
      <c r="G98" s="1"/>
      <c r="H98" s="1">
        <v>873612</v>
      </c>
      <c r="I98" s="1"/>
      <c r="J98" s="1">
        <v>134964</v>
      </c>
      <c r="K98" s="1"/>
      <c r="L98" s="1">
        <v>63468</v>
      </c>
      <c r="M98" s="1"/>
      <c r="N98" s="1">
        <v>0</v>
      </c>
      <c r="O98" s="1"/>
      <c r="P98" s="1">
        <v>0</v>
      </c>
      <c r="Q98" s="1"/>
      <c r="R98" s="1">
        <v>6596</v>
      </c>
      <c r="S98" s="1"/>
      <c r="T98" s="1">
        <v>10165</v>
      </c>
      <c r="U98" s="1"/>
      <c r="V98" s="1">
        <v>9081</v>
      </c>
      <c r="W98" s="1"/>
      <c r="X98" s="1">
        <v>0</v>
      </c>
      <c r="Y98" s="1"/>
      <c r="Z98" s="1">
        <v>0</v>
      </c>
      <c r="AA98" s="1"/>
      <c r="AB98" s="1">
        <v>0</v>
      </c>
      <c r="AC98" s="1"/>
      <c r="AD98" s="1">
        <v>0</v>
      </c>
      <c r="AE98" s="1"/>
      <c r="AF98" s="1">
        <v>0</v>
      </c>
      <c r="AH98" s="4">
        <f t="shared" ref="AH98:AH162" si="3">SUM(F98:AF98)</f>
        <v>2033038</v>
      </c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s="4" customFormat="1">
      <c r="A99" s="4">
        <v>87</v>
      </c>
      <c r="B99" s="4" t="s">
        <v>133</v>
      </c>
      <c r="D99" s="4" t="s">
        <v>55</v>
      </c>
      <c r="F99" s="1">
        <v>1578107</v>
      </c>
      <c r="G99" s="1"/>
      <c r="H99" s="1">
        <v>1986664</v>
      </c>
      <c r="I99" s="1"/>
      <c r="J99" s="1">
        <v>232534</v>
      </c>
      <c r="K99" s="1"/>
      <c r="L99" s="1">
        <v>97281</v>
      </c>
      <c r="M99" s="1"/>
      <c r="N99" s="1">
        <v>0</v>
      </c>
      <c r="O99" s="1"/>
      <c r="P99" s="1">
        <v>0</v>
      </c>
      <c r="Q99" s="1"/>
      <c r="R99" s="1">
        <v>24027</v>
      </c>
      <c r="S99" s="1"/>
      <c r="T99" s="1">
        <v>5127</v>
      </c>
      <c r="U99" s="1"/>
      <c r="V99" s="1">
        <v>12504</v>
      </c>
      <c r="W99" s="1"/>
      <c r="X99" s="1">
        <v>0</v>
      </c>
      <c r="Y99" s="1"/>
      <c r="Z99" s="1">
        <v>0</v>
      </c>
      <c r="AA99" s="1"/>
      <c r="AB99" s="1">
        <v>0</v>
      </c>
      <c r="AC99" s="1"/>
      <c r="AD99" s="1">
        <v>0</v>
      </c>
      <c r="AE99" s="1"/>
      <c r="AF99" s="1">
        <v>0</v>
      </c>
      <c r="AH99" s="4">
        <f t="shared" si="3"/>
        <v>3936244</v>
      </c>
    </row>
    <row r="100" spans="1:65" s="4" customFormat="1">
      <c r="A100" s="4">
        <v>13</v>
      </c>
      <c r="B100" s="4" t="s">
        <v>16</v>
      </c>
      <c r="D100" s="4" t="s">
        <v>17</v>
      </c>
      <c r="F100" s="1">
        <v>2505208</v>
      </c>
      <c r="G100" s="1"/>
      <c r="H100" s="1">
        <v>1690996</v>
      </c>
      <c r="I100" s="1"/>
      <c r="J100" s="1">
        <v>583896</v>
      </c>
      <c r="K100" s="1"/>
      <c r="L100" s="1">
        <v>123127</v>
      </c>
      <c r="M100" s="1"/>
      <c r="N100" s="1">
        <v>0</v>
      </c>
      <c r="O100" s="1"/>
      <c r="P100" s="1">
        <v>0</v>
      </c>
      <c r="Q100" s="1"/>
      <c r="R100" s="1">
        <v>39660</v>
      </c>
      <c r="S100" s="1"/>
      <c r="T100" s="1">
        <v>15008</v>
      </c>
      <c r="U100" s="1"/>
      <c r="V100" s="1">
        <v>15923</v>
      </c>
      <c r="W100" s="1"/>
      <c r="X100" s="1">
        <v>0</v>
      </c>
      <c r="Y100" s="1"/>
      <c r="Z100" s="1">
        <v>0</v>
      </c>
      <c r="AA100" s="1"/>
      <c r="AB100" s="1">
        <v>0</v>
      </c>
      <c r="AC100" s="1"/>
      <c r="AD100" s="1">
        <v>0</v>
      </c>
      <c r="AE100" s="1"/>
      <c r="AF100" s="1">
        <v>0</v>
      </c>
      <c r="AH100" s="4">
        <f t="shared" si="3"/>
        <v>4973818</v>
      </c>
    </row>
    <row r="101" spans="1:65" s="4" customFormat="1">
      <c r="A101" s="4">
        <v>83</v>
      </c>
      <c r="B101" s="35" t="s">
        <v>134</v>
      </c>
      <c r="C101" s="35"/>
      <c r="D101" s="35" t="s">
        <v>40</v>
      </c>
      <c r="E101" s="35"/>
      <c r="F101" s="74">
        <v>0</v>
      </c>
      <c r="G101" s="74"/>
      <c r="H101" s="74">
        <v>244814.73</v>
      </c>
      <c r="I101" s="74"/>
      <c r="J101" s="74">
        <v>0</v>
      </c>
      <c r="K101" s="74"/>
      <c r="L101" s="74">
        <v>5723.48</v>
      </c>
      <c r="M101" s="74"/>
      <c r="N101" s="74">
        <v>0</v>
      </c>
      <c r="O101" s="74"/>
      <c r="P101" s="74">
        <v>0</v>
      </c>
      <c r="Q101" s="74"/>
      <c r="R101" s="74">
        <v>13999.96</v>
      </c>
      <c r="S101" s="74"/>
      <c r="T101" s="74">
        <v>529.79</v>
      </c>
      <c r="U101" s="74"/>
      <c r="V101" s="74">
        <v>12495.03</v>
      </c>
      <c r="W101" s="74"/>
      <c r="X101" s="74">
        <v>0</v>
      </c>
      <c r="Y101" s="74"/>
      <c r="Z101" s="74">
        <v>0</v>
      </c>
      <c r="AA101" s="74"/>
      <c r="AB101" s="74">
        <v>0</v>
      </c>
      <c r="AC101" s="74"/>
      <c r="AD101" s="74">
        <v>0</v>
      </c>
      <c r="AE101" s="74"/>
      <c r="AF101" s="74">
        <v>0</v>
      </c>
      <c r="AG101" s="74"/>
      <c r="AH101" s="74">
        <f>SUM(F101:AF101)</f>
        <v>277562.99000000005</v>
      </c>
    </row>
    <row r="102" spans="1:65" s="4" customFormat="1">
      <c r="B102" s="35" t="s">
        <v>623</v>
      </c>
      <c r="C102" s="35"/>
      <c r="D102" s="35" t="s">
        <v>87</v>
      </c>
      <c r="E102" s="35"/>
      <c r="F102" s="1">
        <v>7000</v>
      </c>
      <c r="G102" s="1"/>
      <c r="H102" s="1">
        <v>631292</v>
      </c>
      <c r="I102" s="1"/>
      <c r="J102" s="1">
        <v>0</v>
      </c>
      <c r="K102" s="1"/>
      <c r="L102" s="1">
        <v>26405</v>
      </c>
      <c r="M102" s="1"/>
      <c r="N102" s="1">
        <v>0</v>
      </c>
      <c r="O102" s="1"/>
      <c r="P102" s="1">
        <v>0</v>
      </c>
      <c r="Q102" s="1"/>
      <c r="R102" s="1">
        <v>11093</v>
      </c>
      <c r="S102" s="1"/>
      <c r="T102" s="1">
        <v>2832</v>
      </c>
      <c r="U102" s="1"/>
      <c r="V102" s="1">
        <v>14613</v>
      </c>
      <c r="W102" s="1"/>
      <c r="X102" s="1">
        <v>0</v>
      </c>
      <c r="Y102" s="1"/>
      <c r="Z102" s="1">
        <v>0</v>
      </c>
      <c r="AA102" s="1"/>
      <c r="AB102" s="1">
        <v>0</v>
      </c>
      <c r="AC102" s="1"/>
      <c r="AD102" s="1">
        <v>0</v>
      </c>
      <c r="AE102" s="1"/>
      <c r="AF102" s="1">
        <v>0</v>
      </c>
      <c r="AG102" s="35"/>
      <c r="AH102" s="4">
        <f t="shared" si="3"/>
        <v>693235</v>
      </c>
    </row>
    <row r="103" spans="1:65" s="4" customFormat="1">
      <c r="A103" s="4">
        <v>231</v>
      </c>
      <c r="B103" s="4" t="s">
        <v>430</v>
      </c>
      <c r="D103" s="4" t="s">
        <v>65</v>
      </c>
      <c r="F103" s="1">
        <v>949953</v>
      </c>
      <c r="G103" s="1"/>
      <c r="H103" s="1">
        <v>2338144</v>
      </c>
      <c r="I103" s="1"/>
      <c r="J103" s="1">
        <v>5444</v>
      </c>
      <c r="K103" s="1"/>
      <c r="L103" s="1">
        <v>119824</v>
      </c>
      <c r="M103" s="1"/>
      <c r="N103" s="1">
        <v>0</v>
      </c>
      <c r="O103" s="1"/>
      <c r="P103" s="1">
        <v>0</v>
      </c>
      <c r="Q103" s="1"/>
      <c r="R103" s="1">
        <v>0</v>
      </c>
      <c r="S103" s="1"/>
      <c r="T103" s="1">
        <v>1229</v>
      </c>
      <c r="U103" s="1"/>
      <c r="V103" s="1">
        <v>70623</v>
      </c>
      <c r="W103" s="1"/>
      <c r="X103" s="1">
        <v>0</v>
      </c>
      <c r="Y103" s="1"/>
      <c r="Z103" s="1">
        <v>0</v>
      </c>
      <c r="AA103" s="1"/>
      <c r="AB103" s="1">
        <v>0</v>
      </c>
      <c r="AC103" s="1"/>
      <c r="AD103" s="1">
        <v>0</v>
      </c>
      <c r="AE103" s="1"/>
      <c r="AF103" s="1">
        <v>0</v>
      </c>
      <c r="AH103" s="4">
        <f t="shared" si="3"/>
        <v>3485217</v>
      </c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s="4" customFormat="1">
      <c r="A104" s="4">
        <v>40</v>
      </c>
      <c r="B104" s="7" t="s">
        <v>135</v>
      </c>
      <c r="C104" s="7"/>
      <c r="D104" s="7" t="s">
        <v>13</v>
      </c>
      <c r="E104" s="7"/>
      <c r="F104" s="1">
        <v>117105</v>
      </c>
      <c r="G104" s="1"/>
      <c r="H104" s="1">
        <v>228038</v>
      </c>
      <c r="I104" s="1"/>
      <c r="J104" s="1">
        <v>0</v>
      </c>
      <c r="K104" s="1"/>
      <c r="L104" s="1">
        <v>5003</v>
      </c>
      <c r="M104" s="1"/>
      <c r="N104" s="1">
        <v>0</v>
      </c>
      <c r="O104" s="1"/>
      <c r="P104" s="1">
        <v>0</v>
      </c>
      <c r="Q104" s="1"/>
      <c r="R104" s="1">
        <v>1141</v>
      </c>
      <c r="S104" s="1"/>
      <c r="T104" s="1">
        <v>1486</v>
      </c>
      <c r="U104" s="1"/>
      <c r="V104" s="1">
        <v>26</v>
      </c>
      <c r="W104" s="1"/>
      <c r="X104" s="1">
        <v>0</v>
      </c>
      <c r="Y104" s="1"/>
      <c r="Z104" s="1">
        <v>0</v>
      </c>
      <c r="AA104" s="1"/>
      <c r="AB104" s="1">
        <v>0</v>
      </c>
      <c r="AC104" s="1"/>
      <c r="AD104" s="1">
        <v>0</v>
      </c>
      <c r="AE104" s="1"/>
      <c r="AF104" s="1">
        <v>0</v>
      </c>
      <c r="AH104" s="4">
        <f t="shared" si="3"/>
        <v>352799</v>
      </c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65" s="4" customFormat="1">
      <c r="A105" s="4">
        <v>179</v>
      </c>
      <c r="B105" s="4" t="s">
        <v>586</v>
      </c>
      <c r="D105" s="4" t="s">
        <v>137</v>
      </c>
      <c r="F105" s="6">
        <v>698884.14</v>
      </c>
      <c r="G105" s="6"/>
      <c r="H105" s="6">
        <v>1996005.83</v>
      </c>
      <c r="I105" s="6"/>
      <c r="J105" s="6">
        <v>4998.58</v>
      </c>
      <c r="K105" s="6"/>
      <c r="L105" s="6">
        <v>79166.740000000005</v>
      </c>
      <c r="M105" s="6"/>
      <c r="N105" s="6">
        <v>0</v>
      </c>
      <c r="O105" s="6"/>
      <c r="P105" s="6">
        <v>0</v>
      </c>
      <c r="Q105" s="6"/>
      <c r="R105" s="6">
        <v>10276.83</v>
      </c>
      <c r="S105" s="6"/>
      <c r="T105" s="6">
        <v>7113.28</v>
      </c>
      <c r="U105" s="6"/>
      <c r="V105" s="6">
        <v>111449.32</v>
      </c>
      <c r="W105" s="6"/>
      <c r="X105" s="6">
        <v>0</v>
      </c>
      <c r="Y105" s="6"/>
      <c r="Z105" s="6">
        <v>0</v>
      </c>
      <c r="AA105" s="6"/>
      <c r="AB105" s="6">
        <v>0</v>
      </c>
      <c r="AC105" s="6"/>
      <c r="AD105" s="6">
        <v>0</v>
      </c>
      <c r="AE105" s="6"/>
      <c r="AF105" s="6">
        <v>0</v>
      </c>
      <c r="AG105" s="6"/>
      <c r="AH105" s="6">
        <f>SUM(F105:AF105)</f>
        <v>2907894.72</v>
      </c>
    </row>
    <row r="106" spans="1:65" s="4" customFormat="1" hidden="1">
      <c r="A106" s="4">
        <v>179</v>
      </c>
      <c r="B106" s="4" t="s">
        <v>361</v>
      </c>
      <c r="D106" s="4" t="s">
        <v>51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H106" s="4">
        <f t="shared" si="3"/>
        <v>0</v>
      </c>
    </row>
    <row r="107" spans="1:65" s="4" customFormat="1">
      <c r="A107" s="4">
        <v>165</v>
      </c>
      <c r="B107" s="4" t="s">
        <v>138</v>
      </c>
      <c r="D107" s="4" t="s">
        <v>59</v>
      </c>
      <c r="F107" s="6">
        <v>66636.66</v>
      </c>
      <c r="G107" s="6"/>
      <c r="H107" s="6">
        <v>88898.77</v>
      </c>
      <c r="I107" s="6"/>
      <c r="J107" s="6">
        <v>3314.68</v>
      </c>
      <c r="K107" s="6"/>
      <c r="L107" s="6">
        <v>2858.11</v>
      </c>
      <c r="M107" s="6"/>
      <c r="N107" s="6">
        <v>0</v>
      </c>
      <c r="O107" s="6"/>
      <c r="P107" s="6">
        <v>0</v>
      </c>
      <c r="Q107" s="6"/>
      <c r="R107" s="6">
        <v>2824.12</v>
      </c>
      <c r="S107" s="6"/>
      <c r="T107" s="6">
        <v>39.56</v>
      </c>
      <c r="U107" s="6"/>
      <c r="V107" s="6">
        <v>1286.8399999999999</v>
      </c>
      <c r="W107" s="6"/>
      <c r="X107" s="6">
        <v>0</v>
      </c>
      <c r="Y107" s="6"/>
      <c r="Z107" s="6">
        <v>0</v>
      </c>
      <c r="AA107" s="6"/>
      <c r="AB107" s="6">
        <v>0</v>
      </c>
      <c r="AC107" s="6"/>
      <c r="AD107" s="6">
        <v>0</v>
      </c>
      <c r="AE107" s="6"/>
      <c r="AF107" s="6">
        <v>0</v>
      </c>
      <c r="AG107" s="6"/>
      <c r="AH107" s="6">
        <f>SUM(F107:AF107)</f>
        <v>165858.73999999996</v>
      </c>
    </row>
    <row r="108" spans="1:65" s="4" customFormat="1">
      <c r="A108" s="4">
        <v>44</v>
      </c>
      <c r="B108" s="4" t="s">
        <v>139</v>
      </c>
      <c r="D108" s="4" t="s">
        <v>48</v>
      </c>
      <c r="F108" s="1">
        <v>0</v>
      </c>
      <c r="G108" s="1"/>
      <c r="H108" s="1">
        <v>93258</v>
      </c>
      <c r="I108" s="1"/>
      <c r="J108" s="1">
        <v>0</v>
      </c>
      <c r="K108" s="1"/>
      <c r="L108" s="1">
        <v>3255</v>
      </c>
      <c r="M108" s="1"/>
      <c r="N108" s="1">
        <v>0</v>
      </c>
      <c r="O108" s="1"/>
      <c r="P108" s="1">
        <v>0</v>
      </c>
      <c r="Q108" s="1"/>
      <c r="R108" s="1">
        <v>6034</v>
      </c>
      <c r="S108" s="1"/>
      <c r="T108" s="1">
        <v>92</v>
      </c>
      <c r="U108" s="1"/>
      <c r="V108" s="1">
        <v>1500</v>
      </c>
      <c r="W108" s="1"/>
      <c r="X108" s="1">
        <v>0</v>
      </c>
      <c r="Y108" s="1"/>
      <c r="Z108" s="1">
        <v>0</v>
      </c>
      <c r="AA108" s="1"/>
      <c r="AB108" s="1">
        <v>0</v>
      </c>
      <c r="AC108" s="1"/>
      <c r="AD108" s="1">
        <v>0</v>
      </c>
      <c r="AE108" s="1"/>
      <c r="AF108" s="1">
        <v>0</v>
      </c>
      <c r="AH108" s="4">
        <f t="shared" si="3"/>
        <v>104139</v>
      </c>
    </row>
    <row r="109" spans="1:65" s="7" customFormat="1">
      <c r="A109" s="4">
        <v>223</v>
      </c>
      <c r="B109" s="4" t="s">
        <v>140</v>
      </c>
      <c r="C109" s="4"/>
      <c r="D109" s="4" t="s">
        <v>52</v>
      </c>
      <c r="E109" s="4"/>
      <c r="F109" s="6">
        <v>998124.62</v>
      </c>
      <c r="G109" s="6"/>
      <c r="H109" s="6">
        <v>1096581.44</v>
      </c>
      <c r="I109" s="6"/>
      <c r="J109" s="6">
        <v>137859.71</v>
      </c>
      <c r="K109" s="6"/>
      <c r="L109" s="6">
        <v>43036.46</v>
      </c>
      <c r="M109" s="6"/>
      <c r="N109" s="6">
        <v>0</v>
      </c>
      <c r="O109" s="6"/>
      <c r="P109" s="6">
        <v>0</v>
      </c>
      <c r="Q109" s="6"/>
      <c r="R109" s="6">
        <v>8449.11</v>
      </c>
      <c r="S109" s="6"/>
      <c r="T109" s="6">
        <v>566.87</v>
      </c>
      <c r="U109" s="6"/>
      <c r="V109" s="6">
        <v>211.77</v>
      </c>
      <c r="W109" s="6"/>
      <c r="X109" s="6">
        <v>0</v>
      </c>
      <c r="Y109" s="6"/>
      <c r="Z109" s="6">
        <v>0</v>
      </c>
      <c r="AA109" s="6"/>
      <c r="AB109" s="6">
        <v>0</v>
      </c>
      <c r="AC109" s="6"/>
      <c r="AD109" s="6">
        <v>0</v>
      </c>
      <c r="AE109" s="6"/>
      <c r="AF109" s="6">
        <v>0</v>
      </c>
      <c r="AG109" s="6"/>
      <c r="AH109" s="6">
        <f>SUM(F109:AF109)</f>
        <v>2284829.98</v>
      </c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</row>
    <row r="110" spans="1:65" s="4" customFormat="1">
      <c r="A110" s="4">
        <v>35</v>
      </c>
      <c r="B110" s="35" t="s">
        <v>141</v>
      </c>
      <c r="C110" s="35"/>
      <c r="D110" s="35" t="s">
        <v>50</v>
      </c>
      <c r="E110" s="35"/>
      <c r="F110" s="6">
        <v>0</v>
      </c>
      <c r="G110" s="6"/>
      <c r="H110" s="6">
        <v>506368.7</v>
      </c>
      <c r="I110" s="6"/>
      <c r="J110" s="6">
        <v>550</v>
      </c>
      <c r="K110" s="6"/>
      <c r="L110" s="6">
        <v>23532.13</v>
      </c>
      <c r="M110" s="6"/>
      <c r="N110" s="6">
        <v>0</v>
      </c>
      <c r="O110" s="6"/>
      <c r="P110" s="6">
        <v>26</v>
      </c>
      <c r="Q110" s="6"/>
      <c r="R110" s="6">
        <v>1056.81</v>
      </c>
      <c r="S110" s="6"/>
      <c r="T110" s="6">
        <v>15802.1</v>
      </c>
      <c r="U110" s="6"/>
      <c r="V110" s="6">
        <v>8120.31</v>
      </c>
      <c r="W110" s="6"/>
      <c r="X110" s="6">
        <v>0</v>
      </c>
      <c r="Y110" s="6"/>
      <c r="Z110" s="6">
        <v>0</v>
      </c>
      <c r="AA110" s="6"/>
      <c r="AB110" s="6">
        <v>0</v>
      </c>
      <c r="AC110" s="6"/>
      <c r="AD110" s="6">
        <v>0</v>
      </c>
      <c r="AE110" s="6"/>
      <c r="AF110" s="6">
        <v>0</v>
      </c>
      <c r="AG110" s="6"/>
      <c r="AH110" s="6">
        <f>SUM(F110:AF110)</f>
        <v>555456.05000000005</v>
      </c>
    </row>
    <row r="111" spans="1:65" s="4" customFormat="1">
      <c r="A111" s="4">
        <v>219</v>
      </c>
      <c r="B111" s="4" t="s">
        <v>301</v>
      </c>
      <c r="D111" s="4" t="s">
        <v>143</v>
      </c>
      <c r="F111" s="1">
        <v>357115</v>
      </c>
      <c r="G111" s="1"/>
      <c r="H111" s="1">
        <v>778592</v>
      </c>
      <c r="I111" s="1"/>
      <c r="J111" s="1">
        <v>0</v>
      </c>
      <c r="K111" s="1"/>
      <c r="L111" s="1">
        <v>28581</v>
      </c>
      <c r="M111" s="1"/>
      <c r="N111" s="1">
        <v>0</v>
      </c>
      <c r="O111" s="1"/>
      <c r="P111" s="1">
        <v>0</v>
      </c>
      <c r="Q111" s="1"/>
      <c r="R111" s="1">
        <v>49296</v>
      </c>
      <c r="S111" s="1"/>
      <c r="T111" s="1">
        <v>1651</v>
      </c>
      <c r="U111" s="1"/>
      <c r="V111" s="1">
        <v>26959</v>
      </c>
      <c r="W111" s="1"/>
      <c r="X111" s="1">
        <v>0</v>
      </c>
      <c r="Y111" s="1"/>
      <c r="Z111" s="1">
        <v>0</v>
      </c>
      <c r="AA111" s="1"/>
      <c r="AB111" s="1">
        <v>0</v>
      </c>
      <c r="AC111" s="1"/>
      <c r="AD111" s="1">
        <v>0</v>
      </c>
      <c r="AE111" s="1"/>
      <c r="AF111" s="1">
        <v>0</v>
      </c>
      <c r="AH111" s="4">
        <f t="shared" si="3"/>
        <v>1242194</v>
      </c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s="4" customFormat="1">
      <c r="A112" s="4">
        <v>119</v>
      </c>
      <c r="B112" s="4" t="s">
        <v>144</v>
      </c>
      <c r="D112" s="4" t="s">
        <v>15</v>
      </c>
      <c r="F112" s="1">
        <v>5022593</v>
      </c>
      <c r="G112" s="1"/>
      <c r="H112" s="1">
        <v>2635063</v>
      </c>
      <c r="I112" s="1"/>
      <c r="J112" s="1">
        <v>797862</v>
      </c>
      <c r="K112" s="1"/>
      <c r="L112" s="1">
        <v>187005</v>
      </c>
      <c r="M112" s="1"/>
      <c r="N112" s="1">
        <v>0</v>
      </c>
      <c r="O112" s="1"/>
      <c r="P112" s="1">
        <v>0</v>
      </c>
      <c r="Q112" s="1"/>
      <c r="R112" s="1">
        <v>8160</v>
      </c>
      <c r="S112" s="1"/>
      <c r="T112" s="1">
        <v>28388</v>
      </c>
      <c r="U112" s="1"/>
      <c r="V112" s="1">
        <v>10039</v>
      </c>
      <c r="W112" s="1"/>
      <c r="X112" s="1">
        <v>0</v>
      </c>
      <c r="Y112" s="1"/>
      <c r="Z112" s="1">
        <v>0</v>
      </c>
      <c r="AA112" s="1"/>
      <c r="AB112" s="1">
        <v>0</v>
      </c>
      <c r="AC112" s="1"/>
      <c r="AD112" s="1">
        <v>0</v>
      </c>
      <c r="AE112" s="1"/>
      <c r="AF112" s="1">
        <v>0</v>
      </c>
      <c r="AH112" s="4">
        <f t="shared" si="3"/>
        <v>8689110</v>
      </c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s="4" customFormat="1">
      <c r="A113" s="4">
        <v>181</v>
      </c>
      <c r="B113" s="35" t="s">
        <v>145</v>
      </c>
      <c r="C113" s="35"/>
      <c r="D113" s="35" t="s">
        <v>53</v>
      </c>
      <c r="E113" s="35"/>
      <c r="F113" s="6">
        <v>0</v>
      </c>
      <c r="G113" s="6"/>
      <c r="H113" s="6">
        <v>596740.09</v>
      </c>
      <c r="I113" s="6"/>
      <c r="J113" s="6">
        <v>0</v>
      </c>
      <c r="K113" s="6"/>
      <c r="L113" s="6">
        <v>14228.58</v>
      </c>
      <c r="M113" s="6"/>
      <c r="N113" s="6">
        <v>0</v>
      </c>
      <c r="O113" s="6"/>
      <c r="P113" s="6">
        <v>0</v>
      </c>
      <c r="Q113" s="6"/>
      <c r="R113" s="6">
        <v>1488.09</v>
      </c>
      <c r="S113" s="6"/>
      <c r="T113" s="6">
        <v>2872.16</v>
      </c>
      <c r="U113" s="6"/>
      <c r="V113" s="6">
        <v>1014.47</v>
      </c>
      <c r="W113" s="6"/>
      <c r="X113" s="6">
        <v>0</v>
      </c>
      <c r="Y113" s="6"/>
      <c r="Z113" s="6">
        <v>0</v>
      </c>
      <c r="AA113" s="6"/>
      <c r="AB113" s="6">
        <v>0</v>
      </c>
      <c r="AC113" s="6"/>
      <c r="AD113" s="6">
        <v>0</v>
      </c>
      <c r="AE113" s="6"/>
      <c r="AF113" s="6">
        <v>0</v>
      </c>
      <c r="AG113" s="6"/>
      <c r="AH113" s="6">
        <f>SUM(F113:AF113)</f>
        <v>616343.3899999999</v>
      </c>
    </row>
    <row r="114" spans="1:65" s="4" customFormat="1">
      <c r="A114" s="4">
        <v>115</v>
      </c>
      <c r="B114" s="4" t="s">
        <v>32</v>
      </c>
      <c r="D114" s="4" t="s">
        <v>54</v>
      </c>
      <c r="F114" s="6">
        <v>211519.33</v>
      </c>
      <c r="G114" s="6"/>
      <c r="H114" s="6">
        <v>0</v>
      </c>
      <c r="I114" s="6"/>
      <c r="J114" s="6">
        <v>661704.69999999995</v>
      </c>
      <c r="K114" s="6"/>
      <c r="L114" s="6">
        <v>7645.81</v>
      </c>
      <c r="M114" s="6"/>
      <c r="N114" s="6">
        <v>0</v>
      </c>
      <c r="O114" s="6"/>
      <c r="P114" s="6">
        <v>0</v>
      </c>
      <c r="Q114" s="6"/>
      <c r="R114" s="6">
        <v>2305</v>
      </c>
      <c r="S114" s="6"/>
      <c r="T114" s="6">
        <v>13899.63</v>
      </c>
      <c r="U114" s="6"/>
      <c r="V114" s="6">
        <v>6633.96</v>
      </c>
      <c r="W114" s="6"/>
      <c r="X114" s="6">
        <v>0</v>
      </c>
      <c r="Y114" s="6"/>
      <c r="Z114" s="6">
        <v>0</v>
      </c>
      <c r="AA114" s="6"/>
      <c r="AB114" s="6">
        <v>0</v>
      </c>
      <c r="AC114" s="6"/>
      <c r="AD114" s="6">
        <v>0</v>
      </c>
      <c r="AE114" s="6"/>
      <c r="AF114" s="6">
        <v>0</v>
      </c>
      <c r="AG114" s="6"/>
      <c r="AH114" s="6">
        <f>SUM(F114:AF114)</f>
        <v>903708.42999999993</v>
      </c>
    </row>
    <row r="115" spans="1:65" s="4" customFormat="1">
      <c r="A115" s="4">
        <v>115</v>
      </c>
      <c r="B115" s="4" t="s">
        <v>33</v>
      </c>
      <c r="D115" s="4" t="s">
        <v>24</v>
      </c>
      <c r="F115" s="6">
        <v>0</v>
      </c>
      <c r="G115" s="6"/>
      <c r="H115" s="6">
        <v>105968.84</v>
      </c>
      <c r="I115" s="6"/>
      <c r="J115" s="6">
        <v>0</v>
      </c>
      <c r="K115" s="6"/>
      <c r="L115" s="6">
        <v>3906.75</v>
      </c>
      <c r="M115" s="6"/>
      <c r="N115" s="6">
        <v>0</v>
      </c>
      <c r="O115" s="6"/>
      <c r="P115" s="6">
        <v>0</v>
      </c>
      <c r="Q115" s="6"/>
      <c r="R115" s="6">
        <v>2482.21</v>
      </c>
      <c r="S115" s="6"/>
      <c r="T115" s="6">
        <v>99.97</v>
      </c>
      <c r="U115" s="6"/>
      <c r="V115" s="6">
        <v>0</v>
      </c>
      <c r="W115" s="6"/>
      <c r="X115" s="6">
        <v>0</v>
      </c>
      <c r="Y115" s="6"/>
      <c r="Z115" s="6">
        <v>0</v>
      </c>
      <c r="AA115" s="6"/>
      <c r="AB115" s="6">
        <v>0</v>
      </c>
      <c r="AC115" s="6"/>
      <c r="AD115" s="6">
        <v>0</v>
      </c>
      <c r="AE115" s="6"/>
      <c r="AF115" s="6">
        <v>0</v>
      </c>
      <c r="AG115" s="6"/>
      <c r="AH115" s="6">
        <f>SUM(F115:AF115)</f>
        <v>112457.77</v>
      </c>
    </row>
    <row r="116" spans="1:65" s="4" customFormat="1">
      <c r="A116" s="4">
        <v>19</v>
      </c>
      <c r="B116" s="4" t="s">
        <v>146</v>
      </c>
      <c r="D116" s="4" t="s">
        <v>55</v>
      </c>
      <c r="F116" s="74">
        <v>563320.78</v>
      </c>
      <c r="G116" s="74"/>
      <c r="H116" s="74">
        <v>537176.80000000005</v>
      </c>
      <c r="I116" s="74"/>
      <c r="J116" s="74">
        <v>4553.8</v>
      </c>
      <c r="K116" s="74"/>
      <c r="L116" s="74">
        <v>16901.12</v>
      </c>
      <c r="M116" s="74"/>
      <c r="N116" s="74">
        <v>0</v>
      </c>
      <c r="O116" s="74"/>
      <c r="P116" s="74">
        <v>0</v>
      </c>
      <c r="Q116" s="74"/>
      <c r="R116" s="74">
        <v>2153</v>
      </c>
      <c r="S116" s="74"/>
      <c r="T116" s="74">
        <v>105.33</v>
      </c>
      <c r="U116" s="74"/>
      <c r="V116" s="74">
        <v>1199.69</v>
      </c>
      <c r="W116" s="74"/>
      <c r="X116" s="74">
        <v>0</v>
      </c>
      <c r="Y116" s="74"/>
      <c r="Z116" s="74">
        <v>0</v>
      </c>
      <c r="AA116" s="74"/>
      <c r="AB116" s="74">
        <v>0</v>
      </c>
      <c r="AC116" s="74"/>
      <c r="AD116" s="74">
        <v>0</v>
      </c>
      <c r="AE116" s="74"/>
      <c r="AF116" s="74">
        <v>0</v>
      </c>
      <c r="AG116" s="74"/>
      <c r="AH116" s="74">
        <f>SUM(F116:AF116)</f>
        <v>1125410.5200000003</v>
      </c>
    </row>
    <row r="117" spans="1:65" s="4" customFormat="1">
      <c r="A117" s="4">
        <v>22</v>
      </c>
      <c r="B117" s="35" t="s">
        <v>302</v>
      </c>
      <c r="C117" s="35"/>
      <c r="D117" s="35" t="s">
        <v>41</v>
      </c>
      <c r="E117" s="35"/>
      <c r="F117" s="6">
        <v>0</v>
      </c>
      <c r="G117" s="6"/>
      <c r="H117" s="6">
        <v>140283.43</v>
      </c>
      <c r="I117" s="6"/>
      <c r="J117" s="6">
        <v>10404.620000000001</v>
      </c>
      <c r="K117" s="6"/>
      <c r="L117" s="6">
        <v>12101.84</v>
      </c>
      <c r="M117" s="6"/>
      <c r="N117" s="6">
        <v>0</v>
      </c>
      <c r="O117" s="6"/>
      <c r="P117" s="6">
        <v>0</v>
      </c>
      <c r="Q117" s="6"/>
      <c r="R117" s="6">
        <v>7801.23</v>
      </c>
      <c r="S117" s="6"/>
      <c r="T117" s="6">
        <v>5337.72</v>
      </c>
      <c r="U117" s="6"/>
      <c r="V117" s="6">
        <v>1422.62</v>
      </c>
      <c r="W117" s="6"/>
      <c r="X117" s="6">
        <v>0</v>
      </c>
      <c r="Y117" s="6"/>
      <c r="Z117" s="6">
        <v>0</v>
      </c>
      <c r="AA117" s="6"/>
      <c r="AB117" s="6">
        <v>0</v>
      </c>
      <c r="AC117" s="6"/>
      <c r="AD117" s="6">
        <v>0</v>
      </c>
      <c r="AE117" s="6"/>
      <c r="AF117" s="6">
        <v>0</v>
      </c>
      <c r="AG117" s="6"/>
      <c r="AH117" s="6">
        <f>SUM(F117:AF117)</f>
        <v>177351.46</v>
      </c>
    </row>
    <row r="118" spans="1:65" s="4" customFormat="1">
      <c r="A118" s="4">
        <v>226</v>
      </c>
      <c r="B118" s="4" t="s">
        <v>147</v>
      </c>
      <c r="D118" s="4" t="s">
        <v>90</v>
      </c>
      <c r="F118" s="1">
        <v>1081469</v>
      </c>
      <c r="G118" s="1"/>
      <c r="H118" s="1">
        <v>1364914</v>
      </c>
      <c r="I118" s="1"/>
      <c r="J118" s="1">
        <v>218643</v>
      </c>
      <c r="K118" s="1"/>
      <c r="L118" s="1">
        <v>95400</v>
      </c>
      <c r="M118" s="1"/>
      <c r="N118" s="1">
        <v>0</v>
      </c>
      <c r="O118" s="1"/>
      <c r="P118" s="1">
        <v>14226</v>
      </c>
      <c r="Q118" s="1"/>
      <c r="R118" s="1">
        <v>95475</v>
      </c>
      <c r="S118" s="1"/>
      <c r="T118" s="1">
        <v>1652</v>
      </c>
      <c r="U118" s="1"/>
      <c r="V118" s="1">
        <v>7017</v>
      </c>
      <c r="W118" s="1"/>
      <c r="X118" s="1">
        <v>0</v>
      </c>
      <c r="Y118" s="1"/>
      <c r="Z118" s="1">
        <v>0</v>
      </c>
      <c r="AA118" s="1"/>
      <c r="AB118" s="1">
        <v>0</v>
      </c>
      <c r="AC118" s="1"/>
      <c r="AD118" s="1">
        <v>0</v>
      </c>
      <c r="AE118" s="1"/>
      <c r="AF118" s="1">
        <v>0</v>
      </c>
      <c r="AH118" s="4">
        <f t="shared" si="3"/>
        <v>2878796</v>
      </c>
    </row>
    <row r="119" spans="1:65" s="4" customFormat="1" hidden="1">
      <c r="A119" s="4">
        <v>12</v>
      </c>
      <c r="B119" s="4" t="s">
        <v>148</v>
      </c>
      <c r="D119" s="4" t="s">
        <v>39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4">
        <f t="shared" si="3"/>
        <v>0</v>
      </c>
    </row>
    <row r="120" spans="1:65" s="4" customFormat="1">
      <c r="A120" s="4">
        <v>24</v>
      </c>
      <c r="B120" s="4" t="s">
        <v>587</v>
      </c>
      <c r="D120" s="4" t="s">
        <v>150</v>
      </c>
      <c r="F120" s="1">
        <v>2949333</v>
      </c>
      <c r="G120" s="1"/>
      <c r="H120" s="1">
        <v>4336937</v>
      </c>
      <c r="I120" s="1"/>
      <c r="J120" s="1">
        <f>487872+3000</f>
        <v>490872</v>
      </c>
      <c r="K120" s="1"/>
      <c r="L120" s="1">
        <v>188396</v>
      </c>
      <c r="M120" s="1"/>
      <c r="N120" s="1">
        <v>0</v>
      </c>
      <c r="O120" s="1"/>
      <c r="P120" s="1">
        <v>0</v>
      </c>
      <c r="Q120" s="1"/>
      <c r="R120" s="1">
        <v>662</v>
      </c>
      <c r="S120" s="1"/>
      <c r="T120" s="1">
        <v>94156</v>
      </c>
      <c r="U120" s="1"/>
      <c r="V120" s="1">
        <v>103553</v>
      </c>
      <c r="W120" s="1"/>
      <c r="X120" s="1">
        <v>0</v>
      </c>
      <c r="Y120" s="1"/>
      <c r="Z120" s="1">
        <v>0</v>
      </c>
      <c r="AA120" s="1"/>
      <c r="AB120" s="1">
        <v>0</v>
      </c>
      <c r="AC120" s="1"/>
      <c r="AD120" s="1">
        <v>0</v>
      </c>
      <c r="AE120" s="1"/>
      <c r="AF120" s="1">
        <v>0</v>
      </c>
      <c r="AH120" s="4">
        <f t="shared" si="3"/>
        <v>8163909</v>
      </c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s="4" customFormat="1">
      <c r="A121" s="4">
        <v>18</v>
      </c>
      <c r="B121" s="4" t="s">
        <v>151</v>
      </c>
      <c r="D121" s="4" t="s">
        <v>79</v>
      </c>
      <c r="F121" s="74">
        <v>0</v>
      </c>
      <c r="G121" s="74"/>
      <c r="H121" s="74">
        <v>714379.44</v>
      </c>
      <c r="I121" s="74"/>
      <c r="J121" s="74">
        <v>0</v>
      </c>
      <c r="K121" s="74"/>
      <c r="L121" s="74">
        <v>13575.59</v>
      </c>
      <c r="M121" s="74"/>
      <c r="N121" s="74">
        <v>0</v>
      </c>
      <c r="O121" s="74"/>
      <c r="P121" s="74">
        <v>0</v>
      </c>
      <c r="Q121" s="74"/>
      <c r="R121" s="74">
        <v>64740.04</v>
      </c>
      <c r="S121" s="74"/>
      <c r="T121" s="74">
        <v>973.28</v>
      </c>
      <c r="U121" s="74"/>
      <c r="V121" s="74">
        <v>6221.44</v>
      </c>
      <c r="W121" s="74"/>
      <c r="X121" s="74">
        <v>0</v>
      </c>
      <c r="Y121" s="74"/>
      <c r="Z121" s="74">
        <v>0</v>
      </c>
      <c r="AA121" s="74"/>
      <c r="AB121" s="74">
        <v>0</v>
      </c>
      <c r="AC121" s="74"/>
      <c r="AD121" s="74">
        <v>0</v>
      </c>
      <c r="AE121" s="74"/>
      <c r="AF121" s="74">
        <v>0</v>
      </c>
      <c r="AG121" s="74"/>
      <c r="AH121" s="74">
        <f>SUM(F121:AF121)</f>
        <v>799889.78999999992</v>
      </c>
    </row>
    <row r="122" spans="1:65" s="4" customFormat="1">
      <c r="A122" s="4">
        <v>20</v>
      </c>
      <c r="B122" s="4" t="s">
        <v>588</v>
      </c>
      <c r="D122" s="4" t="s">
        <v>152</v>
      </c>
      <c r="F122" s="1">
        <v>0</v>
      </c>
      <c r="G122" s="1"/>
      <c r="H122" s="1">
        <v>1187535</v>
      </c>
      <c r="I122" s="1"/>
      <c r="J122" s="1">
        <v>0</v>
      </c>
      <c r="K122" s="1"/>
      <c r="L122" s="1">
        <v>37929</v>
      </c>
      <c r="M122" s="1"/>
      <c r="N122" s="1">
        <v>0</v>
      </c>
      <c r="O122" s="1"/>
      <c r="P122" s="1">
        <v>0</v>
      </c>
      <c r="Q122" s="1"/>
      <c r="R122" s="1">
        <v>4602</v>
      </c>
      <c r="S122" s="1"/>
      <c r="T122" s="1">
        <v>19615</v>
      </c>
      <c r="U122" s="1"/>
      <c r="V122" s="1">
        <v>13176</v>
      </c>
      <c r="W122" s="1"/>
      <c r="X122" s="1">
        <v>0</v>
      </c>
      <c r="Y122" s="1"/>
      <c r="Z122" s="1">
        <v>0</v>
      </c>
      <c r="AA122" s="1"/>
      <c r="AB122" s="1">
        <v>0</v>
      </c>
      <c r="AC122" s="1"/>
      <c r="AD122" s="1">
        <v>0</v>
      </c>
      <c r="AE122" s="1"/>
      <c r="AF122" s="1">
        <v>0</v>
      </c>
      <c r="AH122" s="4">
        <f t="shared" si="3"/>
        <v>1262857</v>
      </c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s="4" customFormat="1">
      <c r="A123" s="4">
        <v>102</v>
      </c>
      <c r="B123" s="35" t="s">
        <v>153</v>
      </c>
      <c r="C123" s="35"/>
      <c r="D123" s="35" t="s">
        <v>41</v>
      </c>
      <c r="E123" s="35"/>
      <c r="F123" s="6">
        <v>240239.76</v>
      </c>
      <c r="G123" s="6"/>
      <c r="H123" s="6">
        <v>326338.93</v>
      </c>
      <c r="I123" s="6"/>
      <c r="J123" s="6">
        <v>47879.43</v>
      </c>
      <c r="K123" s="6"/>
      <c r="L123" s="6">
        <v>10112.77</v>
      </c>
      <c r="M123" s="6"/>
      <c r="N123" s="6">
        <v>0</v>
      </c>
      <c r="O123" s="6"/>
      <c r="P123" s="6">
        <v>0</v>
      </c>
      <c r="Q123" s="6"/>
      <c r="R123" s="6">
        <v>1619.49</v>
      </c>
      <c r="S123" s="6"/>
      <c r="T123" s="6">
        <v>302</v>
      </c>
      <c r="U123" s="6"/>
      <c r="V123" s="6">
        <v>14623</v>
      </c>
      <c r="W123" s="6"/>
      <c r="X123" s="6">
        <v>0</v>
      </c>
      <c r="Y123" s="6"/>
      <c r="Z123" s="6">
        <v>0</v>
      </c>
      <c r="AA123" s="6"/>
      <c r="AB123" s="6">
        <v>0</v>
      </c>
      <c r="AC123" s="6"/>
      <c r="AD123" s="6">
        <v>0</v>
      </c>
      <c r="AE123" s="6"/>
      <c r="AF123" s="6">
        <v>0</v>
      </c>
      <c r="AG123" s="6"/>
      <c r="AH123" s="6">
        <f>SUM(F123:AF123)</f>
        <v>641115.38</v>
      </c>
    </row>
    <row r="124" spans="1:65" s="4" customFormat="1">
      <c r="A124" s="4">
        <v>4</v>
      </c>
      <c r="B124" s="4" t="s">
        <v>154</v>
      </c>
      <c r="D124" s="4" t="s">
        <v>59</v>
      </c>
      <c r="F124" s="1">
        <v>0</v>
      </c>
      <c r="G124" s="1"/>
      <c r="H124" s="1">
        <v>64379</v>
      </c>
      <c r="I124" s="1"/>
      <c r="J124" s="1">
        <v>0</v>
      </c>
      <c r="K124" s="1"/>
      <c r="L124" s="1">
        <v>1648</v>
      </c>
      <c r="M124" s="1"/>
      <c r="N124" s="1">
        <v>0</v>
      </c>
      <c r="O124" s="1"/>
      <c r="P124" s="1">
        <v>0</v>
      </c>
      <c r="Q124" s="1"/>
      <c r="R124" s="1">
        <v>420</v>
      </c>
      <c r="S124" s="1"/>
      <c r="T124" s="1">
        <v>15</v>
      </c>
      <c r="U124" s="1"/>
      <c r="V124" s="1">
        <v>2175</v>
      </c>
      <c r="W124" s="1"/>
      <c r="X124" s="1">
        <v>0</v>
      </c>
      <c r="Y124" s="1"/>
      <c r="Z124" s="1">
        <v>0</v>
      </c>
      <c r="AA124" s="1"/>
      <c r="AB124" s="1">
        <v>0</v>
      </c>
      <c r="AC124" s="1"/>
      <c r="AD124" s="1">
        <v>0</v>
      </c>
      <c r="AE124" s="1"/>
      <c r="AF124" s="1">
        <v>0</v>
      </c>
      <c r="AH124" s="4">
        <f t="shared" si="3"/>
        <v>68637</v>
      </c>
    </row>
    <row r="125" spans="1:65" s="4" customFormat="1">
      <c r="A125" s="4">
        <v>173</v>
      </c>
      <c r="B125" s="4" t="s">
        <v>155</v>
      </c>
      <c r="D125" s="4" t="s">
        <v>156</v>
      </c>
      <c r="F125" s="1">
        <v>265347</v>
      </c>
      <c r="G125" s="1"/>
      <c r="H125" s="1">
        <v>374648</v>
      </c>
      <c r="I125" s="1"/>
      <c r="J125" s="1">
        <v>0</v>
      </c>
      <c r="K125" s="1"/>
      <c r="L125" s="1">
        <v>22928</v>
      </c>
      <c r="M125" s="1"/>
      <c r="N125" s="1">
        <v>0</v>
      </c>
      <c r="O125" s="1"/>
      <c r="P125" s="1">
        <v>0</v>
      </c>
      <c r="Q125" s="1"/>
      <c r="R125" s="1">
        <v>0</v>
      </c>
      <c r="S125" s="1"/>
      <c r="T125" s="1">
        <v>1020</v>
      </c>
      <c r="U125" s="1"/>
      <c r="V125" s="1">
        <v>0</v>
      </c>
      <c r="W125" s="1"/>
      <c r="X125" s="1">
        <v>0</v>
      </c>
      <c r="Y125" s="1"/>
      <c r="Z125" s="1">
        <v>0</v>
      </c>
      <c r="AA125" s="1"/>
      <c r="AB125" s="1">
        <v>0</v>
      </c>
      <c r="AC125" s="1"/>
      <c r="AD125" s="1">
        <v>0</v>
      </c>
      <c r="AE125" s="1"/>
      <c r="AF125" s="1">
        <v>0</v>
      </c>
      <c r="AH125" s="4">
        <f t="shared" si="3"/>
        <v>663943</v>
      </c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</row>
    <row r="126" spans="1:65" s="4" customFormat="1">
      <c r="A126" s="4">
        <v>168</v>
      </c>
      <c r="B126" s="4" t="s">
        <v>303</v>
      </c>
      <c r="D126" s="4" t="s">
        <v>41</v>
      </c>
      <c r="F126" s="6">
        <v>0</v>
      </c>
      <c r="G126" s="6"/>
      <c r="H126" s="6">
        <v>260218.93</v>
      </c>
      <c r="I126" s="6"/>
      <c r="J126" s="6">
        <v>57803.47</v>
      </c>
      <c r="K126" s="6"/>
      <c r="L126" s="6">
        <v>15559.49</v>
      </c>
      <c r="M126" s="6"/>
      <c r="N126" s="6">
        <v>0</v>
      </c>
      <c r="O126" s="6"/>
      <c r="P126" s="6">
        <v>0</v>
      </c>
      <c r="Q126" s="6"/>
      <c r="R126" s="6">
        <v>46463.839999999997</v>
      </c>
      <c r="S126" s="6"/>
      <c r="T126" s="6">
        <v>225.59</v>
      </c>
      <c r="U126" s="6"/>
      <c r="V126" s="6">
        <v>1325.87</v>
      </c>
      <c r="W126" s="6"/>
      <c r="X126" s="6">
        <v>10187.85</v>
      </c>
      <c r="Y126" s="6"/>
      <c r="Z126" s="6">
        <v>0</v>
      </c>
      <c r="AA126" s="6"/>
      <c r="AB126" s="6">
        <v>0</v>
      </c>
      <c r="AC126" s="6"/>
      <c r="AD126" s="6">
        <v>0</v>
      </c>
      <c r="AE126" s="6"/>
      <c r="AF126" s="6">
        <v>0</v>
      </c>
      <c r="AG126" s="6"/>
      <c r="AH126" s="6">
        <f>SUM(F126:AF126)</f>
        <v>391785.04</v>
      </c>
    </row>
    <row r="127" spans="1:65" s="4" customFormat="1">
      <c r="A127" s="4">
        <v>144</v>
      </c>
      <c r="B127" s="4" t="s">
        <v>157</v>
      </c>
      <c r="D127" s="4" t="s">
        <v>158</v>
      </c>
      <c r="F127" s="1">
        <v>62155</v>
      </c>
      <c r="G127" s="1"/>
      <c r="H127" s="1">
        <v>351139</v>
      </c>
      <c r="I127" s="1"/>
      <c r="J127" s="1">
        <v>14770</v>
      </c>
      <c r="K127" s="1"/>
      <c r="L127" s="1">
        <v>8339</v>
      </c>
      <c r="M127" s="1"/>
      <c r="N127" s="1">
        <v>0</v>
      </c>
      <c r="O127" s="1"/>
      <c r="P127" s="1">
        <v>0</v>
      </c>
      <c r="Q127" s="1"/>
      <c r="R127" s="1">
        <v>33246</v>
      </c>
      <c r="S127" s="1"/>
      <c r="T127" s="1">
        <v>21328</v>
      </c>
      <c r="U127" s="1"/>
      <c r="V127" s="1">
        <v>983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0</v>
      </c>
      <c r="AE127" s="1"/>
      <c r="AF127" s="1">
        <v>0</v>
      </c>
      <c r="AH127" s="4">
        <f t="shared" si="3"/>
        <v>491960</v>
      </c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 spans="1:65" s="4" customFormat="1">
      <c r="A128" s="4">
        <v>198</v>
      </c>
      <c r="B128" s="35" t="s">
        <v>451</v>
      </c>
      <c r="C128" s="35"/>
      <c r="D128" s="35" t="s">
        <v>55</v>
      </c>
      <c r="E128" s="35"/>
      <c r="F128" s="6">
        <v>153159.17000000001</v>
      </c>
      <c r="G128" s="6"/>
      <c r="H128" s="6">
        <v>285021.5</v>
      </c>
      <c r="I128" s="6"/>
      <c r="J128" s="6">
        <v>23588.85</v>
      </c>
      <c r="K128" s="6"/>
      <c r="L128" s="6">
        <v>11052.19</v>
      </c>
      <c r="M128" s="6"/>
      <c r="N128" s="6">
        <v>0</v>
      </c>
      <c r="O128" s="6"/>
      <c r="P128" s="6">
        <v>0</v>
      </c>
      <c r="Q128" s="6"/>
      <c r="R128" s="6">
        <v>4540.5</v>
      </c>
      <c r="S128" s="6"/>
      <c r="T128" s="6">
        <v>3921.22</v>
      </c>
      <c r="U128" s="6"/>
      <c r="V128" s="6">
        <v>337.02</v>
      </c>
      <c r="W128" s="6"/>
      <c r="X128" s="6">
        <v>0</v>
      </c>
      <c r="Y128" s="6"/>
      <c r="Z128" s="6">
        <v>0</v>
      </c>
      <c r="AA128" s="6"/>
      <c r="AB128" s="6">
        <v>0</v>
      </c>
      <c r="AC128" s="6"/>
      <c r="AD128" s="6">
        <v>0</v>
      </c>
      <c r="AE128" s="6"/>
      <c r="AF128" s="6">
        <v>0</v>
      </c>
      <c r="AG128" s="6"/>
      <c r="AH128" s="6">
        <f>SUM(F128:AF128)</f>
        <v>481620.45</v>
      </c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</row>
    <row r="129" spans="1:65" s="4" customFormat="1">
      <c r="A129" s="4">
        <v>33</v>
      </c>
      <c r="B129" s="4" t="s">
        <v>159</v>
      </c>
      <c r="D129" s="4" t="s">
        <v>56</v>
      </c>
      <c r="F129" s="6">
        <v>1140661.3400000001</v>
      </c>
      <c r="G129" s="6"/>
      <c r="H129" s="6">
        <v>0</v>
      </c>
      <c r="I129" s="6"/>
      <c r="J129" s="6">
        <v>1300</v>
      </c>
      <c r="K129" s="6"/>
      <c r="L129" s="6">
        <v>60164.13</v>
      </c>
      <c r="M129" s="6"/>
      <c r="N129" s="6">
        <v>0</v>
      </c>
      <c r="O129" s="6"/>
      <c r="P129" s="6">
        <v>0</v>
      </c>
      <c r="Q129" s="6"/>
      <c r="R129" s="6">
        <v>7799.82</v>
      </c>
      <c r="S129" s="6"/>
      <c r="T129" s="6">
        <v>39140.410000000003</v>
      </c>
      <c r="U129" s="6"/>
      <c r="V129" s="6">
        <v>831.65</v>
      </c>
      <c r="W129" s="6"/>
      <c r="X129" s="6">
        <v>0</v>
      </c>
      <c r="Y129" s="6"/>
      <c r="Z129" s="6">
        <v>0</v>
      </c>
      <c r="AA129" s="6"/>
      <c r="AB129" s="6">
        <v>0</v>
      </c>
      <c r="AC129" s="6"/>
      <c r="AD129" s="6">
        <v>0</v>
      </c>
      <c r="AE129" s="6"/>
      <c r="AF129" s="6">
        <v>0</v>
      </c>
      <c r="AG129" s="6"/>
      <c r="AH129" s="6">
        <f>SUM(F129:AF129)</f>
        <v>1249897.3499999999</v>
      </c>
    </row>
    <row r="130" spans="1:65" s="4" customFormat="1">
      <c r="A130" s="4">
        <v>166</v>
      </c>
      <c r="B130" s="4" t="s">
        <v>160</v>
      </c>
      <c r="D130" s="4" t="s">
        <v>58</v>
      </c>
      <c r="F130" s="1">
        <v>99113.74</v>
      </c>
      <c r="G130" s="1"/>
      <c r="H130" s="1">
        <v>0</v>
      </c>
      <c r="I130" s="1"/>
      <c r="J130" s="1">
        <v>0</v>
      </c>
      <c r="K130" s="1"/>
      <c r="L130" s="1">
        <v>152.44</v>
      </c>
      <c r="M130" s="1"/>
      <c r="N130" s="1">
        <v>0</v>
      </c>
      <c r="O130" s="1"/>
      <c r="P130" s="1">
        <v>0</v>
      </c>
      <c r="Q130" s="1"/>
      <c r="R130" s="1">
        <v>736</v>
      </c>
      <c r="S130" s="1"/>
      <c r="T130" s="1">
        <v>2343.9299999999998</v>
      </c>
      <c r="U130" s="1"/>
      <c r="V130" s="1">
        <v>448.33</v>
      </c>
      <c r="W130" s="1"/>
      <c r="X130" s="1">
        <v>0</v>
      </c>
      <c r="Y130" s="1"/>
      <c r="Z130" s="1">
        <v>0</v>
      </c>
      <c r="AA130" s="1"/>
      <c r="AB130" s="1">
        <v>0</v>
      </c>
      <c r="AC130" s="1"/>
      <c r="AD130" s="1">
        <v>0</v>
      </c>
      <c r="AE130" s="1"/>
      <c r="AF130" s="1">
        <v>0</v>
      </c>
      <c r="AH130" s="4">
        <f t="shared" si="3"/>
        <v>102794.44</v>
      </c>
    </row>
    <row r="131" spans="1:65" s="4" customFormat="1">
      <c r="A131" s="4">
        <v>143</v>
      </c>
      <c r="B131" s="4" t="s">
        <v>589</v>
      </c>
      <c r="D131" s="4" t="s">
        <v>161</v>
      </c>
      <c r="F131" s="6">
        <v>0</v>
      </c>
      <c r="G131" s="6"/>
      <c r="H131" s="6">
        <v>1041098.92</v>
      </c>
      <c r="I131" s="6"/>
      <c r="J131" s="6">
        <v>2407.44</v>
      </c>
      <c r="K131" s="6"/>
      <c r="L131" s="6">
        <v>34440.6</v>
      </c>
      <c r="M131" s="6"/>
      <c r="N131" s="6">
        <v>0</v>
      </c>
      <c r="O131" s="6"/>
      <c r="P131" s="6">
        <v>0</v>
      </c>
      <c r="Q131" s="6"/>
      <c r="R131" s="6">
        <v>689.88</v>
      </c>
      <c r="S131" s="6"/>
      <c r="T131" s="6">
        <v>339.1</v>
      </c>
      <c r="U131" s="6"/>
      <c r="V131" s="6">
        <v>2721.49</v>
      </c>
      <c r="W131" s="6"/>
      <c r="X131" s="6">
        <v>0</v>
      </c>
      <c r="Y131" s="6"/>
      <c r="Z131" s="6">
        <v>0</v>
      </c>
      <c r="AA131" s="6"/>
      <c r="AB131" s="6">
        <v>8782</v>
      </c>
      <c r="AC131" s="6"/>
      <c r="AD131" s="6">
        <v>0</v>
      </c>
      <c r="AE131" s="6"/>
      <c r="AF131" s="6">
        <v>0</v>
      </c>
      <c r="AG131" s="6"/>
      <c r="AH131" s="6">
        <f>SUM(F131:AF131)</f>
        <v>1090479.43</v>
      </c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  <row r="132" spans="1:65" s="4" customFormat="1">
      <c r="A132" s="4">
        <v>47</v>
      </c>
      <c r="B132" s="4" t="s">
        <v>304</v>
      </c>
      <c r="D132" s="4" t="s">
        <v>39</v>
      </c>
      <c r="F132" s="6">
        <v>0</v>
      </c>
      <c r="G132" s="6"/>
      <c r="H132" s="6">
        <v>183548.71</v>
      </c>
      <c r="I132" s="6"/>
      <c r="J132" s="6">
        <v>15203</v>
      </c>
      <c r="K132" s="6"/>
      <c r="L132" s="6">
        <v>1572.55</v>
      </c>
      <c r="M132" s="6"/>
      <c r="N132" s="6">
        <v>0</v>
      </c>
      <c r="O132" s="6"/>
      <c r="P132" s="6">
        <v>0</v>
      </c>
      <c r="Q132" s="6"/>
      <c r="R132" s="6">
        <v>150</v>
      </c>
      <c r="S132" s="6"/>
      <c r="T132" s="6">
        <v>186.06</v>
      </c>
      <c r="U132" s="6"/>
      <c r="V132" s="6">
        <v>655.23</v>
      </c>
      <c r="W132" s="6"/>
      <c r="X132" s="6">
        <v>0</v>
      </c>
      <c r="Y132" s="6"/>
      <c r="Z132" s="6">
        <v>0</v>
      </c>
      <c r="AA132" s="6"/>
      <c r="AB132" s="6">
        <v>0</v>
      </c>
      <c r="AC132" s="6"/>
      <c r="AD132" s="6">
        <v>0</v>
      </c>
      <c r="AE132" s="6"/>
      <c r="AF132" s="6">
        <v>0</v>
      </c>
      <c r="AG132" s="6"/>
      <c r="AH132" s="6">
        <f>SUM(F132:AF132)</f>
        <v>201315.55</v>
      </c>
    </row>
    <row r="133" spans="1:65" s="4" customFormat="1">
      <c r="A133" s="4">
        <v>42</v>
      </c>
      <c r="B133" s="35" t="s">
        <v>452</v>
      </c>
      <c r="C133" s="35"/>
      <c r="D133" s="35" t="s">
        <v>54</v>
      </c>
      <c r="E133" s="35"/>
      <c r="F133" s="74">
        <v>336601.37</v>
      </c>
      <c r="G133" s="74"/>
      <c r="H133" s="74">
        <v>661731.69999999995</v>
      </c>
      <c r="I133" s="74"/>
      <c r="J133" s="74">
        <v>61355.43</v>
      </c>
      <c r="K133" s="74"/>
      <c r="L133" s="74">
        <v>15177.67</v>
      </c>
      <c r="M133" s="74"/>
      <c r="N133" s="74">
        <v>0</v>
      </c>
      <c r="O133" s="74"/>
      <c r="P133" s="74">
        <v>7825</v>
      </c>
      <c r="Q133" s="74"/>
      <c r="R133" s="74">
        <v>6110.38</v>
      </c>
      <c r="S133" s="74"/>
      <c r="T133" s="74">
        <v>2333.94</v>
      </c>
      <c r="U133" s="74"/>
      <c r="V133" s="74">
        <v>1020.68</v>
      </c>
      <c r="W133" s="74"/>
      <c r="X133" s="74">
        <v>0</v>
      </c>
      <c r="Y133" s="74"/>
      <c r="Z133" s="74">
        <v>0</v>
      </c>
      <c r="AA133" s="74"/>
      <c r="AB133" s="74">
        <v>0</v>
      </c>
      <c r="AC133" s="74"/>
      <c r="AD133" s="74">
        <v>0</v>
      </c>
      <c r="AE133" s="74"/>
      <c r="AF133" s="74">
        <v>0</v>
      </c>
      <c r="AG133" s="74"/>
      <c r="AH133" s="74">
        <f>SUM(F133:AF133)</f>
        <v>1092156.1699999997</v>
      </c>
    </row>
    <row r="134" spans="1:65" s="4" customFormat="1" hidden="1">
      <c r="A134" s="4">
        <v>151</v>
      </c>
      <c r="B134" s="4" t="s">
        <v>163</v>
      </c>
      <c r="D134" s="4" t="s">
        <v>20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H134" s="4">
        <f t="shared" si="3"/>
        <v>0</v>
      </c>
    </row>
    <row r="135" spans="1:65" s="4" customFormat="1">
      <c r="A135" s="4">
        <v>10</v>
      </c>
      <c r="B135" s="4" t="s">
        <v>164</v>
      </c>
      <c r="D135" s="4" t="s">
        <v>165</v>
      </c>
      <c r="F135" s="6">
        <v>344762.6</v>
      </c>
      <c r="G135" s="6"/>
      <c r="H135" s="6">
        <v>313309.56</v>
      </c>
      <c r="I135" s="6"/>
      <c r="J135" s="6">
        <v>0</v>
      </c>
      <c r="K135" s="6"/>
      <c r="L135" s="6">
        <v>24594.3</v>
      </c>
      <c r="M135" s="6"/>
      <c r="N135" s="6">
        <v>0</v>
      </c>
      <c r="O135" s="6"/>
      <c r="P135" s="6">
        <v>0</v>
      </c>
      <c r="Q135" s="6"/>
      <c r="R135" s="6">
        <v>5398.73</v>
      </c>
      <c r="S135" s="6"/>
      <c r="T135" s="6">
        <v>215.45</v>
      </c>
      <c r="U135" s="6"/>
      <c r="V135" s="6">
        <v>7544.96</v>
      </c>
      <c r="W135" s="6"/>
      <c r="X135" s="6">
        <v>0</v>
      </c>
      <c r="Y135" s="6"/>
      <c r="Z135" s="6">
        <v>0</v>
      </c>
      <c r="AA135" s="6"/>
      <c r="AB135" s="6">
        <v>0</v>
      </c>
      <c r="AC135" s="6"/>
      <c r="AD135" s="6">
        <v>0</v>
      </c>
      <c r="AE135" s="6"/>
      <c r="AF135" s="6">
        <v>0</v>
      </c>
      <c r="AG135" s="6"/>
      <c r="AH135" s="6">
        <f>SUM(F135:AF135)</f>
        <v>695825.59999999986</v>
      </c>
    </row>
    <row r="136" spans="1:65" s="4" customFormat="1">
      <c r="A136" s="4">
        <v>63</v>
      </c>
      <c r="B136" s="4" t="s">
        <v>35</v>
      </c>
      <c r="D136" s="4" t="s">
        <v>10</v>
      </c>
      <c r="F136" s="6">
        <v>219456.54</v>
      </c>
      <c r="G136" s="6"/>
      <c r="H136" s="6">
        <v>303476.78999999998</v>
      </c>
      <c r="I136" s="6"/>
      <c r="J136" s="6">
        <v>29148.39</v>
      </c>
      <c r="K136" s="6"/>
      <c r="L136" s="6">
        <v>12073.89</v>
      </c>
      <c r="M136" s="6"/>
      <c r="N136" s="6">
        <v>0</v>
      </c>
      <c r="O136" s="6"/>
      <c r="P136" s="6">
        <v>0</v>
      </c>
      <c r="Q136" s="6"/>
      <c r="R136" s="6">
        <v>7333.06</v>
      </c>
      <c r="S136" s="6"/>
      <c r="T136" s="6">
        <v>434.24</v>
      </c>
      <c r="U136" s="6"/>
      <c r="V136" s="6">
        <v>2480.89</v>
      </c>
      <c r="W136" s="6"/>
      <c r="X136" s="6">
        <v>0</v>
      </c>
      <c r="Y136" s="6"/>
      <c r="Z136" s="6">
        <v>0</v>
      </c>
      <c r="AA136" s="6"/>
      <c r="AB136" s="6">
        <v>0</v>
      </c>
      <c r="AC136" s="6"/>
      <c r="AD136" s="6">
        <v>0</v>
      </c>
      <c r="AE136" s="6"/>
      <c r="AF136" s="6">
        <v>0</v>
      </c>
      <c r="AG136" s="6"/>
      <c r="AH136" s="6">
        <f>SUM(F136:AF136)</f>
        <v>574403.80000000005</v>
      </c>
    </row>
    <row r="137" spans="1:65" s="4" customFormat="1" hidden="1">
      <c r="A137" s="4">
        <v>244</v>
      </c>
      <c r="B137" s="4" t="s">
        <v>35</v>
      </c>
      <c r="D137" s="4" t="s">
        <v>10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H137" s="4">
        <f t="shared" si="3"/>
        <v>0</v>
      </c>
    </row>
    <row r="138" spans="1:65" s="4" customFormat="1">
      <c r="A138" s="4">
        <v>201</v>
      </c>
      <c r="B138" s="4" t="s">
        <v>166</v>
      </c>
      <c r="D138" s="4" t="s">
        <v>156</v>
      </c>
      <c r="F138" s="1">
        <v>1175627</v>
      </c>
      <c r="G138" s="1"/>
      <c r="H138" s="1">
        <v>0</v>
      </c>
      <c r="I138" s="1"/>
      <c r="J138" s="1">
        <v>0</v>
      </c>
      <c r="K138" s="1"/>
      <c r="L138" s="1">
        <v>19712</v>
      </c>
      <c r="M138" s="1"/>
      <c r="N138" s="1">
        <v>0</v>
      </c>
      <c r="O138" s="1"/>
      <c r="P138" s="1">
        <v>0</v>
      </c>
      <c r="Q138" s="1"/>
      <c r="R138" s="1">
        <v>37772</v>
      </c>
      <c r="S138" s="1"/>
      <c r="T138" s="1">
        <v>414</v>
      </c>
      <c r="U138" s="1"/>
      <c r="V138" s="1">
        <v>1933</v>
      </c>
      <c r="W138" s="1"/>
      <c r="X138" s="1">
        <v>0</v>
      </c>
      <c r="Y138" s="1"/>
      <c r="Z138" s="1">
        <v>0</v>
      </c>
      <c r="AA138" s="1"/>
      <c r="AB138" s="1">
        <v>0</v>
      </c>
      <c r="AC138" s="1"/>
      <c r="AD138" s="1">
        <v>0</v>
      </c>
      <c r="AE138" s="1"/>
      <c r="AF138" s="1">
        <v>0</v>
      </c>
      <c r="AH138" s="4">
        <f t="shared" si="3"/>
        <v>1235458</v>
      </c>
    </row>
    <row r="139" spans="1:65" s="4" customFormat="1">
      <c r="A139" s="4">
        <v>7</v>
      </c>
      <c r="B139" s="35" t="s">
        <v>335</v>
      </c>
      <c r="C139" s="35"/>
      <c r="D139" s="35" t="s">
        <v>51</v>
      </c>
      <c r="E139" s="35"/>
      <c r="F139" s="74">
        <v>0</v>
      </c>
      <c r="G139" s="74"/>
      <c r="H139" s="74">
        <v>221185.15</v>
      </c>
      <c r="I139" s="74"/>
      <c r="J139" s="74">
        <v>0</v>
      </c>
      <c r="K139" s="74"/>
      <c r="L139" s="74">
        <v>3998.92</v>
      </c>
      <c r="M139" s="74"/>
      <c r="N139" s="74">
        <v>0</v>
      </c>
      <c r="O139" s="74"/>
      <c r="P139" s="74">
        <v>0</v>
      </c>
      <c r="Q139" s="74"/>
      <c r="R139" s="74">
        <v>2912.21</v>
      </c>
      <c r="S139" s="74"/>
      <c r="T139" s="74">
        <v>11609.83</v>
      </c>
      <c r="U139" s="74"/>
      <c r="V139" s="74">
        <v>58.95</v>
      </c>
      <c r="W139" s="74"/>
      <c r="X139" s="74">
        <v>0</v>
      </c>
      <c r="Y139" s="74"/>
      <c r="Z139" s="74">
        <v>0</v>
      </c>
      <c r="AA139" s="74"/>
      <c r="AB139" s="74">
        <v>0</v>
      </c>
      <c r="AC139" s="74"/>
      <c r="AD139" s="74">
        <v>0</v>
      </c>
      <c r="AE139" s="74"/>
      <c r="AF139" s="74">
        <v>0</v>
      </c>
      <c r="AG139" s="74"/>
      <c r="AH139" s="74">
        <f>SUM(F139:AF139)</f>
        <v>239765.06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 spans="1:65" s="4" customFormat="1">
      <c r="A140" s="4">
        <v>239</v>
      </c>
      <c r="B140" s="4" t="s">
        <v>167</v>
      </c>
      <c r="D140" s="4" t="s">
        <v>168</v>
      </c>
      <c r="F140" s="6">
        <v>0</v>
      </c>
      <c r="G140" s="6"/>
      <c r="H140" s="6">
        <v>393162.87</v>
      </c>
      <c r="I140" s="6"/>
      <c r="J140" s="6">
        <v>3900</v>
      </c>
      <c r="K140" s="6"/>
      <c r="L140" s="6">
        <v>15633.28</v>
      </c>
      <c r="M140" s="6"/>
      <c r="N140" s="6">
        <v>0</v>
      </c>
      <c r="O140" s="6"/>
      <c r="P140" s="6">
        <v>0</v>
      </c>
      <c r="Q140" s="6"/>
      <c r="R140" s="6">
        <v>9561.0300000000007</v>
      </c>
      <c r="S140" s="6"/>
      <c r="T140" s="6">
        <v>3598.35</v>
      </c>
      <c r="U140" s="6"/>
      <c r="V140" s="6">
        <v>6648.12</v>
      </c>
      <c r="W140" s="6"/>
      <c r="X140" s="6">
        <v>1981.55</v>
      </c>
      <c r="Y140" s="6"/>
      <c r="Z140" s="6">
        <v>0</v>
      </c>
      <c r="AA140" s="6"/>
      <c r="AB140" s="6">
        <v>0</v>
      </c>
      <c r="AC140" s="6"/>
      <c r="AD140" s="6">
        <v>0</v>
      </c>
      <c r="AE140" s="6"/>
      <c r="AF140" s="6">
        <v>0</v>
      </c>
      <c r="AG140" s="6"/>
      <c r="AH140" s="6">
        <f>SUM(F140:AF140)</f>
        <v>434485.2</v>
      </c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1:65" s="4" customFormat="1">
      <c r="A141" s="4">
        <v>210</v>
      </c>
      <c r="B141" s="35" t="s">
        <v>334</v>
      </c>
      <c r="C141" s="35"/>
      <c r="D141" s="35" t="s">
        <v>57</v>
      </c>
      <c r="E141" s="35"/>
      <c r="F141" s="6">
        <v>242061.72</v>
      </c>
      <c r="G141" s="6"/>
      <c r="H141" s="6">
        <v>423257.9</v>
      </c>
      <c r="I141" s="6"/>
      <c r="J141" s="6">
        <v>44935.39</v>
      </c>
      <c r="K141" s="6"/>
      <c r="L141" s="6">
        <v>17261.72</v>
      </c>
      <c r="M141" s="6"/>
      <c r="N141" s="6">
        <v>0</v>
      </c>
      <c r="O141" s="6"/>
      <c r="P141" s="6">
        <v>0</v>
      </c>
      <c r="Q141" s="6"/>
      <c r="R141" s="6">
        <v>1555.69</v>
      </c>
      <c r="S141" s="6"/>
      <c r="T141" s="6">
        <v>20550.16</v>
      </c>
      <c r="U141" s="6"/>
      <c r="V141" s="6">
        <v>10133.75</v>
      </c>
      <c r="W141" s="6"/>
      <c r="X141" s="6">
        <v>0</v>
      </c>
      <c r="Y141" s="6"/>
      <c r="Z141" s="6">
        <v>0</v>
      </c>
      <c r="AA141" s="6"/>
      <c r="AB141" s="6">
        <v>0</v>
      </c>
      <c r="AC141" s="6"/>
      <c r="AD141" s="6">
        <v>0</v>
      </c>
      <c r="AE141" s="6"/>
      <c r="AF141" s="6">
        <v>0</v>
      </c>
      <c r="AG141" s="6"/>
      <c r="AH141" s="6">
        <f>SUM(F141:AF141)</f>
        <v>759756.33</v>
      </c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 spans="1:65" s="4" customFormat="1">
      <c r="A142" s="4">
        <v>66</v>
      </c>
      <c r="B142" s="4" t="s">
        <v>169</v>
      </c>
      <c r="D142" s="4" t="s">
        <v>43</v>
      </c>
      <c r="F142" s="1">
        <v>552333.93000000005</v>
      </c>
      <c r="G142" s="1"/>
      <c r="H142" s="1">
        <v>0</v>
      </c>
      <c r="I142" s="1"/>
      <c r="J142" s="1">
        <v>30000</v>
      </c>
      <c r="K142" s="1"/>
      <c r="L142" s="1">
        <v>8984.36</v>
      </c>
      <c r="M142" s="1"/>
      <c r="N142" s="1">
        <v>0</v>
      </c>
      <c r="O142" s="1"/>
      <c r="P142" s="1">
        <v>0</v>
      </c>
      <c r="Q142" s="1"/>
      <c r="R142" s="1">
        <v>12446.64</v>
      </c>
      <c r="S142" s="1"/>
      <c r="T142" s="1">
        <v>1995.9</v>
      </c>
      <c r="U142" s="1"/>
      <c r="V142" s="1">
        <v>22741.13</v>
      </c>
      <c r="W142" s="1"/>
      <c r="X142" s="1">
        <v>0</v>
      </c>
      <c r="Y142" s="1"/>
      <c r="Z142" s="1">
        <v>0</v>
      </c>
      <c r="AA142" s="1"/>
      <c r="AB142" s="1">
        <v>0</v>
      </c>
      <c r="AC142" s="1"/>
      <c r="AD142" s="1">
        <v>0</v>
      </c>
      <c r="AE142" s="1"/>
      <c r="AF142" s="1">
        <v>0</v>
      </c>
      <c r="AH142" s="4">
        <f t="shared" si="3"/>
        <v>628501.96000000008</v>
      </c>
    </row>
    <row r="143" spans="1:65" s="4" customFormat="1">
      <c r="A143" s="4">
        <v>242</v>
      </c>
      <c r="B143" s="4" t="s">
        <v>170</v>
      </c>
      <c r="D143" s="4" t="s">
        <v>171</v>
      </c>
      <c r="F143" s="74">
        <v>0</v>
      </c>
      <c r="G143" s="74"/>
      <c r="H143" s="74">
        <v>1308945.58</v>
      </c>
      <c r="I143" s="74"/>
      <c r="J143" s="74">
        <v>3550</v>
      </c>
      <c r="K143" s="74"/>
      <c r="L143" s="74">
        <v>35770.050000000003</v>
      </c>
      <c r="M143" s="74"/>
      <c r="N143" s="74">
        <v>0</v>
      </c>
      <c r="O143" s="74"/>
      <c r="P143" s="74">
        <v>0</v>
      </c>
      <c r="Q143" s="74"/>
      <c r="R143" s="74">
        <v>510</v>
      </c>
      <c r="S143" s="74"/>
      <c r="T143" s="74">
        <v>4082.17</v>
      </c>
      <c r="U143" s="74"/>
      <c r="V143" s="74">
        <v>1874.1</v>
      </c>
      <c r="W143" s="74"/>
      <c r="X143" s="74">
        <v>0</v>
      </c>
      <c r="Y143" s="74"/>
      <c r="Z143" s="74">
        <v>0</v>
      </c>
      <c r="AA143" s="74"/>
      <c r="AB143" s="74">
        <v>0</v>
      </c>
      <c r="AC143" s="74"/>
      <c r="AD143" s="74">
        <v>0</v>
      </c>
      <c r="AE143" s="74"/>
      <c r="AF143" s="74">
        <v>0</v>
      </c>
      <c r="AG143" s="74"/>
      <c r="AH143" s="74">
        <f>SUM(F143:AF143)</f>
        <v>1354731.9000000001</v>
      </c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 spans="1:65" s="4" customFormat="1">
      <c r="A144" s="4">
        <v>48</v>
      </c>
      <c r="B144" s="35" t="s">
        <v>172</v>
      </c>
      <c r="C144" s="35"/>
      <c r="D144" s="35" t="s">
        <v>41</v>
      </c>
      <c r="E144" s="35"/>
      <c r="F144" s="6">
        <v>110824.03</v>
      </c>
      <c r="G144" s="6"/>
      <c r="H144" s="6">
        <v>219014.62</v>
      </c>
      <c r="I144" s="6"/>
      <c r="J144" s="6">
        <v>18502.32</v>
      </c>
      <c r="K144" s="6"/>
      <c r="L144" s="6">
        <v>7092.78</v>
      </c>
      <c r="M144" s="6"/>
      <c r="N144" s="6">
        <v>0</v>
      </c>
      <c r="O144" s="6"/>
      <c r="P144" s="6">
        <v>0</v>
      </c>
      <c r="Q144" s="6"/>
      <c r="R144" s="6">
        <v>25411.41</v>
      </c>
      <c r="S144" s="6"/>
      <c r="T144" s="6">
        <v>1346.42</v>
      </c>
      <c r="U144" s="6"/>
      <c r="V144" s="6">
        <v>4628.3999999999996</v>
      </c>
      <c r="W144" s="6"/>
      <c r="X144" s="6">
        <v>0</v>
      </c>
      <c r="Y144" s="6"/>
      <c r="Z144" s="6">
        <v>0</v>
      </c>
      <c r="AA144" s="6"/>
      <c r="AB144" s="6">
        <v>0</v>
      </c>
      <c r="AC144" s="6"/>
      <c r="AD144" s="6">
        <v>0</v>
      </c>
      <c r="AE144" s="6"/>
      <c r="AF144" s="6">
        <v>0</v>
      </c>
      <c r="AG144" s="6"/>
      <c r="AH144" s="6">
        <f>SUM(F144:AF144)</f>
        <v>386819.98000000004</v>
      </c>
    </row>
    <row r="145" spans="1:65" s="4" customFormat="1">
      <c r="A145" s="4">
        <v>46</v>
      </c>
      <c r="B145" s="4" t="s">
        <v>173</v>
      </c>
      <c r="D145" s="4" t="s">
        <v>54</v>
      </c>
      <c r="F145" s="6">
        <v>0</v>
      </c>
      <c r="G145" s="6"/>
      <c r="H145" s="6">
        <v>419383.19</v>
      </c>
      <c r="I145" s="6"/>
      <c r="J145" s="6">
        <v>0</v>
      </c>
      <c r="K145" s="6"/>
      <c r="L145" s="6">
        <v>18287.22</v>
      </c>
      <c r="M145" s="6"/>
      <c r="N145" s="6">
        <v>0</v>
      </c>
      <c r="O145" s="6"/>
      <c r="P145" s="6">
        <v>0</v>
      </c>
      <c r="Q145" s="6"/>
      <c r="R145" s="6">
        <v>1358.95</v>
      </c>
      <c r="S145" s="6"/>
      <c r="T145" s="6">
        <v>214.14</v>
      </c>
      <c r="U145" s="6"/>
      <c r="V145" s="6">
        <v>0</v>
      </c>
      <c r="W145" s="6"/>
      <c r="X145" s="6">
        <v>0</v>
      </c>
      <c r="Y145" s="6"/>
      <c r="Z145" s="6">
        <v>0</v>
      </c>
      <c r="AA145" s="6"/>
      <c r="AB145" s="6">
        <v>0</v>
      </c>
      <c r="AC145" s="6"/>
      <c r="AD145" s="6">
        <v>0</v>
      </c>
      <c r="AE145" s="6"/>
      <c r="AF145" s="6">
        <v>0</v>
      </c>
      <c r="AG145" s="6"/>
      <c r="AH145" s="6">
        <f>SUM(F145:AF145)</f>
        <v>439243.50000000006</v>
      </c>
    </row>
    <row r="146" spans="1:65" s="4" customFormat="1">
      <c r="A146" s="4">
        <v>37</v>
      </c>
      <c r="B146" s="4" t="s">
        <v>174</v>
      </c>
      <c r="D146" s="4" t="s">
        <v>13</v>
      </c>
      <c r="F146" s="6">
        <v>293175.64</v>
      </c>
      <c r="G146" s="6"/>
      <c r="H146" s="6">
        <v>432791.09</v>
      </c>
      <c r="I146" s="6"/>
      <c r="J146" s="6">
        <v>41956.41</v>
      </c>
      <c r="K146" s="6"/>
      <c r="L146" s="6">
        <v>16133.79</v>
      </c>
      <c r="M146" s="6"/>
      <c r="N146" s="6">
        <v>0</v>
      </c>
      <c r="O146" s="6"/>
      <c r="P146" s="6">
        <v>0</v>
      </c>
      <c r="Q146" s="6"/>
      <c r="R146" s="6">
        <v>11188.5</v>
      </c>
      <c r="S146" s="6"/>
      <c r="T146" s="6">
        <v>173.76</v>
      </c>
      <c r="U146" s="6"/>
      <c r="V146" s="6">
        <v>8265.85</v>
      </c>
      <c r="W146" s="6"/>
      <c r="X146" s="6">
        <v>0</v>
      </c>
      <c r="Y146" s="6"/>
      <c r="Z146" s="6">
        <v>0</v>
      </c>
      <c r="AA146" s="6"/>
      <c r="AB146" s="6">
        <v>0</v>
      </c>
      <c r="AC146" s="6"/>
      <c r="AD146" s="6">
        <v>0</v>
      </c>
      <c r="AE146" s="6"/>
      <c r="AF146" s="6">
        <v>0</v>
      </c>
      <c r="AG146" s="6"/>
      <c r="AH146" s="6">
        <f>SUM(F146:AF146)</f>
        <v>803685.04</v>
      </c>
    </row>
    <row r="147" spans="1:65" s="4" customFormat="1">
      <c r="A147" s="4">
        <v>229</v>
      </c>
      <c r="B147" s="15" t="s">
        <v>431</v>
      </c>
      <c r="C147" s="15"/>
      <c r="D147" s="15" t="s">
        <v>17</v>
      </c>
      <c r="E147" s="15"/>
      <c r="F147" s="1">
        <v>1929061</v>
      </c>
      <c r="G147" s="1"/>
      <c r="H147" s="1">
        <v>0</v>
      </c>
      <c r="I147" s="1"/>
      <c r="J147" s="1">
        <v>2146017</v>
      </c>
      <c r="K147" s="1"/>
      <c r="L147" s="1">
        <v>135339</v>
      </c>
      <c r="M147" s="1"/>
      <c r="N147" s="1">
        <v>0</v>
      </c>
      <c r="O147" s="1"/>
      <c r="P147" s="1">
        <v>0</v>
      </c>
      <c r="Q147" s="1"/>
      <c r="R147" s="1">
        <v>174306</v>
      </c>
      <c r="S147" s="1"/>
      <c r="T147" s="1">
        <v>15745</v>
      </c>
      <c r="U147" s="1"/>
      <c r="V147" s="1">
        <v>7632</v>
      </c>
      <c r="W147" s="1"/>
      <c r="X147" s="1">
        <v>0</v>
      </c>
      <c r="Y147" s="1"/>
      <c r="Z147" s="1">
        <v>0</v>
      </c>
      <c r="AA147" s="1"/>
      <c r="AB147" s="1">
        <v>0</v>
      </c>
      <c r="AC147" s="1"/>
      <c r="AD147" s="1">
        <v>0</v>
      </c>
      <c r="AE147" s="1"/>
      <c r="AF147" s="1">
        <v>0</v>
      </c>
      <c r="AG147" s="15"/>
      <c r="AH147" s="4">
        <f t="shared" si="3"/>
        <v>4408100</v>
      </c>
    </row>
    <row r="148" spans="1:65" s="4" customFormat="1">
      <c r="A148" s="4">
        <v>99</v>
      </c>
      <c r="B148" s="4" t="s">
        <v>7</v>
      </c>
      <c r="D148" s="4" t="s">
        <v>8</v>
      </c>
      <c r="F148" s="1">
        <v>2617471</v>
      </c>
      <c r="G148" s="1"/>
      <c r="H148" s="1">
        <v>0</v>
      </c>
      <c r="I148" s="1"/>
      <c r="J148" s="1">
        <v>4866313</v>
      </c>
      <c r="K148" s="1"/>
      <c r="L148" s="1">
        <v>209074</v>
      </c>
      <c r="M148" s="1"/>
      <c r="N148" s="1">
        <v>0</v>
      </c>
      <c r="O148" s="1"/>
      <c r="P148" s="1">
        <v>0</v>
      </c>
      <c r="Q148" s="1"/>
      <c r="R148" s="1">
        <v>805617</v>
      </c>
      <c r="S148" s="1"/>
      <c r="T148" s="1">
        <v>124329</v>
      </c>
      <c r="U148" s="1"/>
      <c r="V148" s="1">
        <v>14199</v>
      </c>
      <c r="W148" s="1"/>
      <c r="X148" s="1">
        <v>0</v>
      </c>
      <c r="Y148" s="1"/>
      <c r="Z148" s="1">
        <v>0</v>
      </c>
      <c r="AA148" s="1"/>
      <c r="AB148" s="1">
        <v>0</v>
      </c>
      <c r="AC148" s="1"/>
      <c r="AD148" s="1">
        <v>0</v>
      </c>
      <c r="AE148" s="1"/>
      <c r="AF148" s="1">
        <v>0</v>
      </c>
      <c r="AH148" s="4">
        <f t="shared" si="3"/>
        <v>8637003</v>
      </c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s="4" customFormat="1">
      <c r="A149" s="4">
        <v>89</v>
      </c>
      <c r="B149" s="35" t="s">
        <v>175</v>
      </c>
      <c r="C149" s="35"/>
      <c r="D149" s="35" t="s">
        <v>52</v>
      </c>
      <c r="E149" s="35"/>
      <c r="F149" s="6">
        <v>745748.16</v>
      </c>
      <c r="G149" s="6"/>
      <c r="H149" s="6">
        <v>744079.79</v>
      </c>
      <c r="I149" s="6"/>
      <c r="J149" s="6">
        <v>93762.09</v>
      </c>
      <c r="K149" s="6"/>
      <c r="L149" s="6">
        <v>34843.599999999999</v>
      </c>
      <c r="M149" s="6"/>
      <c r="N149" s="6">
        <v>0</v>
      </c>
      <c r="O149" s="6"/>
      <c r="P149" s="6">
        <v>0</v>
      </c>
      <c r="Q149" s="6"/>
      <c r="R149" s="6">
        <v>1594.07</v>
      </c>
      <c r="S149" s="6"/>
      <c r="T149" s="6">
        <v>17541.2</v>
      </c>
      <c r="U149" s="6"/>
      <c r="V149" s="6">
        <v>1570</v>
      </c>
      <c r="W149" s="6"/>
      <c r="X149" s="6">
        <v>3012.4</v>
      </c>
      <c r="Y149" s="6"/>
      <c r="Z149" s="6">
        <v>0</v>
      </c>
      <c r="AA149" s="6"/>
      <c r="AB149" s="6">
        <v>0</v>
      </c>
      <c r="AC149" s="6"/>
      <c r="AD149" s="6">
        <v>0</v>
      </c>
      <c r="AE149" s="6"/>
      <c r="AF149" s="6">
        <v>0</v>
      </c>
      <c r="AG149" s="6"/>
      <c r="AH149" s="6">
        <f>SUM(F149:AF149)</f>
        <v>1642151.3100000003</v>
      </c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65" s="4" customFormat="1">
      <c r="A150" s="4">
        <v>170</v>
      </c>
      <c r="B150" s="4" t="s">
        <v>305</v>
      </c>
      <c r="D150" s="4" t="s">
        <v>49</v>
      </c>
      <c r="F150" s="6">
        <v>0</v>
      </c>
      <c r="G150" s="6"/>
      <c r="H150" s="6">
        <v>219937.96</v>
      </c>
      <c r="I150" s="6"/>
      <c r="J150" s="6">
        <v>0</v>
      </c>
      <c r="K150" s="6"/>
      <c r="L150" s="6">
        <v>7258.81</v>
      </c>
      <c r="M150" s="6"/>
      <c r="N150" s="6">
        <v>0</v>
      </c>
      <c r="O150" s="6"/>
      <c r="P150" s="6">
        <v>0</v>
      </c>
      <c r="Q150" s="6"/>
      <c r="R150" s="6">
        <v>10200.4</v>
      </c>
      <c r="S150" s="6"/>
      <c r="T150" s="6">
        <v>1062.1600000000001</v>
      </c>
      <c r="U150" s="6"/>
      <c r="V150" s="6">
        <v>283.45</v>
      </c>
      <c r="W150" s="6"/>
      <c r="X150" s="6">
        <v>30756.77</v>
      </c>
      <c r="Y150" s="6"/>
      <c r="Z150" s="6">
        <v>0</v>
      </c>
      <c r="AA150" s="6"/>
      <c r="AB150" s="6">
        <v>0</v>
      </c>
      <c r="AC150" s="6"/>
      <c r="AD150" s="6">
        <v>0</v>
      </c>
      <c r="AE150" s="6"/>
      <c r="AF150" s="6">
        <v>0</v>
      </c>
      <c r="AG150" s="6"/>
      <c r="AH150" s="6">
        <f>SUM(F150:AF150)</f>
        <v>269499.55</v>
      </c>
    </row>
    <row r="151" spans="1:65">
      <c r="A151" s="4">
        <v>39</v>
      </c>
      <c r="B151" s="4" t="s">
        <v>176</v>
      </c>
      <c r="C151" s="4"/>
      <c r="D151" s="4" t="s">
        <v>49</v>
      </c>
      <c r="E151" s="4"/>
      <c r="F151" s="6">
        <v>0</v>
      </c>
      <c r="G151" s="6"/>
      <c r="H151" s="6">
        <v>420923.81</v>
      </c>
      <c r="I151" s="6"/>
      <c r="J151" s="6">
        <v>91899.87</v>
      </c>
      <c r="K151" s="6"/>
      <c r="L151" s="6">
        <v>9618.14</v>
      </c>
      <c r="M151" s="6"/>
      <c r="N151" s="6">
        <v>0</v>
      </c>
      <c r="O151" s="6"/>
      <c r="P151" s="6">
        <v>0</v>
      </c>
      <c r="Q151" s="6"/>
      <c r="R151" s="6">
        <v>9658.31</v>
      </c>
      <c r="S151" s="6"/>
      <c r="T151" s="6">
        <v>196.33</v>
      </c>
      <c r="U151" s="6"/>
      <c r="V151" s="6">
        <v>10584.91</v>
      </c>
      <c r="W151" s="6"/>
      <c r="X151" s="6">
        <v>1330.97</v>
      </c>
      <c r="Y151" s="6"/>
      <c r="Z151" s="6">
        <v>55841.46</v>
      </c>
      <c r="AA151" s="6"/>
      <c r="AB151" s="6">
        <v>0</v>
      </c>
      <c r="AC151" s="6"/>
      <c r="AD151" s="6">
        <v>0</v>
      </c>
      <c r="AE151" s="6"/>
      <c r="AF151" s="6">
        <v>0</v>
      </c>
      <c r="AG151" s="6"/>
      <c r="AH151" s="6">
        <f>SUM(F151:AF151)</f>
        <v>600053.79999999993</v>
      </c>
    </row>
    <row r="152" spans="1:65">
      <c r="A152" s="4">
        <v>205</v>
      </c>
      <c r="B152" s="4" t="s">
        <v>177</v>
      </c>
      <c r="C152" s="4"/>
      <c r="D152" s="4" t="s">
        <v>58</v>
      </c>
      <c r="E152" s="4"/>
      <c r="F152" s="6">
        <v>143299.74</v>
      </c>
      <c r="G152" s="6"/>
      <c r="H152" s="6">
        <v>138759.22</v>
      </c>
      <c r="I152" s="6"/>
      <c r="J152" s="6">
        <v>10228.48</v>
      </c>
      <c r="K152" s="6"/>
      <c r="L152" s="6">
        <v>7085.34</v>
      </c>
      <c r="M152" s="6"/>
      <c r="N152" s="6">
        <v>0</v>
      </c>
      <c r="O152" s="6"/>
      <c r="P152" s="6">
        <v>0</v>
      </c>
      <c r="Q152" s="6"/>
      <c r="R152" s="6">
        <v>4913.54</v>
      </c>
      <c r="S152" s="6"/>
      <c r="T152" s="6">
        <v>35.57</v>
      </c>
      <c r="U152" s="6"/>
      <c r="V152" s="6">
        <v>708.43</v>
      </c>
      <c r="W152" s="6"/>
      <c r="X152" s="6">
        <v>0</v>
      </c>
      <c r="Y152" s="6"/>
      <c r="Z152" s="6">
        <v>0</v>
      </c>
      <c r="AA152" s="6"/>
      <c r="AB152" s="6">
        <v>0</v>
      </c>
      <c r="AC152" s="6"/>
      <c r="AD152" s="6">
        <v>500.26</v>
      </c>
      <c r="AE152" s="6"/>
      <c r="AF152" s="6">
        <v>0</v>
      </c>
      <c r="AG152" s="6"/>
      <c r="AH152" s="6">
        <f>SUM(F152:AF152)</f>
        <v>305530.57999999996</v>
      </c>
    </row>
    <row r="153" spans="1:65">
      <c r="A153" s="4">
        <v>232</v>
      </c>
      <c r="B153" s="4" t="s">
        <v>561</v>
      </c>
      <c r="C153" s="4"/>
      <c r="D153" s="4" t="s">
        <v>39</v>
      </c>
      <c r="E153" s="4"/>
      <c r="F153" s="1">
        <v>2276941</v>
      </c>
      <c r="G153" s="1"/>
      <c r="H153" s="1">
        <v>2528893</v>
      </c>
      <c r="I153" s="1"/>
      <c r="J153" s="1">
        <v>0</v>
      </c>
      <c r="K153" s="1"/>
      <c r="L153" s="1">
        <v>93924</v>
      </c>
      <c r="M153" s="1"/>
      <c r="N153" s="1">
        <v>0</v>
      </c>
      <c r="O153" s="1"/>
      <c r="P153" s="1">
        <v>696</v>
      </c>
      <c r="Q153" s="1"/>
      <c r="R153" s="1">
        <v>2450</v>
      </c>
      <c r="S153" s="1"/>
      <c r="T153" s="1">
        <v>1890</v>
      </c>
      <c r="U153" s="1"/>
      <c r="V153" s="1">
        <v>47182</v>
      </c>
      <c r="W153" s="1"/>
      <c r="X153" s="1">
        <v>0</v>
      </c>
      <c r="Y153" s="1"/>
      <c r="Z153" s="1">
        <v>2530</v>
      </c>
      <c r="AA153" s="1"/>
      <c r="AB153" s="1">
        <v>5568</v>
      </c>
      <c r="AC153" s="1"/>
      <c r="AD153" s="1">
        <v>0</v>
      </c>
      <c r="AE153" s="1"/>
      <c r="AF153" s="1">
        <v>0</v>
      </c>
      <c r="AG153" s="4"/>
      <c r="AH153" s="4">
        <f t="shared" si="3"/>
        <v>4960074</v>
      </c>
    </row>
    <row r="154" spans="1:65" s="4" customFormat="1">
      <c r="A154" s="4">
        <v>228</v>
      </c>
      <c r="B154" s="4" t="s">
        <v>178</v>
      </c>
      <c r="D154" s="4" t="s">
        <v>95</v>
      </c>
      <c r="F154" s="1">
        <v>0</v>
      </c>
      <c r="G154" s="1"/>
      <c r="H154" s="1">
        <v>2924645</v>
      </c>
      <c r="I154" s="1"/>
      <c r="J154" s="1">
        <v>0</v>
      </c>
      <c r="K154" s="1"/>
      <c r="L154" s="1">
        <v>57127</v>
      </c>
      <c r="M154" s="1"/>
      <c r="N154" s="1">
        <v>0</v>
      </c>
      <c r="O154" s="1"/>
      <c r="P154" s="1">
        <v>5794</v>
      </c>
      <c r="Q154" s="1"/>
      <c r="R154" s="1">
        <v>1579</v>
      </c>
      <c r="S154" s="1"/>
      <c r="T154" s="1">
        <v>10443</v>
      </c>
      <c r="U154" s="1"/>
      <c r="V154" s="1">
        <v>12757</v>
      </c>
      <c r="W154" s="1"/>
      <c r="X154" s="1">
        <v>0</v>
      </c>
      <c r="Y154" s="1"/>
      <c r="Z154" s="1">
        <v>500000</v>
      </c>
      <c r="AA154" s="1"/>
      <c r="AB154" s="1">
        <v>0</v>
      </c>
      <c r="AC154" s="1"/>
      <c r="AD154" s="1">
        <v>0</v>
      </c>
      <c r="AE154" s="1"/>
      <c r="AF154" s="1">
        <v>0</v>
      </c>
      <c r="AH154" s="4">
        <f t="shared" si="3"/>
        <v>3512345</v>
      </c>
    </row>
    <row r="155" spans="1:65" s="14" customFormat="1">
      <c r="A155" s="4">
        <v>105</v>
      </c>
      <c r="B155" s="4" t="s">
        <v>562</v>
      </c>
      <c r="C155" s="4"/>
      <c r="D155" s="4" t="s">
        <v>85</v>
      </c>
      <c r="E155" s="4"/>
      <c r="F155" s="1">
        <v>0</v>
      </c>
      <c r="G155" s="1"/>
      <c r="H155" s="1">
        <v>1194198</v>
      </c>
      <c r="I155" s="1"/>
      <c r="J155" s="1">
        <v>19909</v>
      </c>
      <c r="K155" s="1"/>
      <c r="L155" s="1">
        <v>17942</v>
      </c>
      <c r="M155" s="1"/>
      <c r="N155" s="1">
        <v>0</v>
      </c>
      <c r="O155" s="1"/>
      <c r="P155" s="1">
        <v>0</v>
      </c>
      <c r="Q155" s="1"/>
      <c r="R155" s="1">
        <v>21596</v>
      </c>
      <c r="S155" s="1"/>
      <c r="T155" s="1">
        <v>161</v>
      </c>
      <c r="U155" s="1"/>
      <c r="V155" s="1">
        <v>19412</v>
      </c>
      <c r="W155" s="1"/>
      <c r="X155" s="1">
        <v>0</v>
      </c>
      <c r="Y155" s="1"/>
      <c r="Z155" s="1">
        <v>0</v>
      </c>
      <c r="AA155" s="1"/>
      <c r="AB155" s="1">
        <v>0</v>
      </c>
      <c r="AC155" s="1"/>
      <c r="AD155" s="1">
        <v>0</v>
      </c>
      <c r="AE155" s="1"/>
      <c r="AF155" s="1">
        <v>0</v>
      </c>
      <c r="AG155" s="4"/>
      <c r="AH155" s="4">
        <f t="shared" si="3"/>
        <v>1273218</v>
      </c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</row>
    <row r="156" spans="1:65" s="4" customFormat="1">
      <c r="A156" s="4">
        <v>182</v>
      </c>
      <c r="B156" s="4" t="s">
        <v>563</v>
      </c>
      <c r="D156" s="4" t="s">
        <v>179</v>
      </c>
      <c r="F156" s="1">
        <v>0</v>
      </c>
      <c r="G156" s="1"/>
      <c r="H156" s="1">
        <v>806843</v>
      </c>
      <c r="I156" s="1"/>
      <c r="J156" s="1">
        <v>0</v>
      </c>
      <c r="K156" s="1"/>
      <c r="L156" s="1">
        <v>38531</v>
      </c>
      <c r="M156" s="1"/>
      <c r="N156" s="1">
        <v>0</v>
      </c>
      <c r="O156" s="1"/>
      <c r="P156" s="1">
        <v>0</v>
      </c>
      <c r="Q156" s="1"/>
      <c r="R156" s="1">
        <v>1000</v>
      </c>
      <c r="S156" s="1"/>
      <c r="T156" s="1">
        <v>11479</v>
      </c>
      <c r="U156" s="1"/>
      <c r="V156" s="1">
        <v>11400</v>
      </c>
      <c r="W156" s="1"/>
      <c r="X156" s="1">
        <v>0</v>
      </c>
      <c r="Y156" s="1"/>
      <c r="Z156" s="1">
        <v>0</v>
      </c>
      <c r="AA156" s="1"/>
      <c r="AB156" s="1">
        <v>0</v>
      </c>
      <c r="AC156" s="1"/>
      <c r="AD156" s="1">
        <v>0</v>
      </c>
      <c r="AE156" s="1"/>
      <c r="AF156" s="1">
        <v>0</v>
      </c>
      <c r="AH156" s="4">
        <f t="shared" si="3"/>
        <v>869253</v>
      </c>
    </row>
    <row r="157" spans="1:65" s="4" customFormat="1">
      <c r="A157" s="4">
        <v>27</v>
      </c>
      <c r="B157" s="4" t="s">
        <v>9</v>
      </c>
      <c r="D157" s="4" t="s">
        <v>10</v>
      </c>
      <c r="F157" s="1">
        <v>342760</v>
      </c>
      <c r="G157" s="1"/>
      <c r="H157" s="1">
        <v>490232</v>
      </c>
      <c r="I157" s="1"/>
      <c r="J157" s="1">
        <v>49185</v>
      </c>
      <c r="K157" s="1"/>
      <c r="L157" s="1">
        <v>23321</v>
      </c>
      <c r="M157" s="1"/>
      <c r="N157" s="1">
        <v>0</v>
      </c>
      <c r="O157" s="1"/>
      <c r="P157" s="1">
        <v>0</v>
      </c>
      <c r="Q157" s="1"/>
      <c r="R157" s="1">
        <v>1685</v>
      </c>
      <c r="S157" s="1"/>
      <c r="T157" s="1">
        <v>9249</v>
      </c>
      <c r="U157" s="1"/>
      <c r="V157" s="1">
        <v>1557</v>
      </c>
      <c r="W157" s="1"/>
      <c r="X157" s="1">
        <v>0</v>
      </c>
      <c r="Y157" s="1"/>
      <c r="Z157" s="1">
        <v>0</v>
      </c>
      <c r="AA157" s="1"/>
      <c r="AB157" s="1">
        <v>0</v>
      </c>
      <c r="AC157" s="1"/>
      <c r="AD157" s="1">
        <v>0</v>
      </c>
      <c r="AE157" s="1"/>
      <c r="AF157" s="1">
        <v>0</v>
      </c>
      <c r="AH157" s="4">
        <f t="shared" si="3"/>
        <v>917989</v>
      </c>
    </row>
    <row r="158" spans="1:65">
      <c r="A158" s="4">
        <v>67</v>
      </c>
      <c r="B158" s="4" t="s">
        <v>180</v>
      </c>
      <c r="C158" s="4"/>
      <c r="D158" s="4" t="s">
        <v>55</v>
      </c>
      <c r="E158" s="4"/>
      <c r="F158" s="1">
        <v>0</v>
      </c>
      <c r="G158" s="1"/>
      <c r="H158" s="1">
        <v>146595</v>
      </c>
      <c r="I158" s="1"/>
      <c r="J158" s="1">
        <v>3674544</v>
      </c>
      <c r="K158" s="1"/>
      <c r="L158" s="1">
        <v>0</v>
      </c>
      <c r="M158" s="1"/>
      <c r="N158" s="1">
        <v>0</v>
      </c>
      <c r="O158" s="1"/>
      <c r="P158" s="1">
        <v>0</v>
      </c>
      <c r="Q158" s="1"/>
      <c r="R158" s="1">
        <v>8100</v>
      </c>
      <c r="S158" s="1"/>
      <c r="T158" s="1">
        <v>1898</v>
      </c>
      <c r="U158" s="1"/>
      <c r="V158" s="1">
        <v>7209</v>
      </c>
      <c r="W158" s="1"/>
      <c r="X158" s="1">
        <v>0</v>
      </c>
      <c r="Y158" s="1"/>
      <c r="Z158" s="1">
        <v>0</v>
      </c>
      <c r="AA158" s="1"/>
      <c r="AB158" s="1">
        <v>0</v>
      </c>
      <c r="AC158" s="1"/>
      <c r="AD158" s="1">
        <v>0</v>
      </c>
      <c r="AE158" s="1"/>
      <c r="AF158" s="1">
        <v>0</v>
      </c>
      <c r="AG158" s="4"/>
      <c r="AH158" s="4">
        <f t="shared" ref="AH158" si="4">SUM(F158:AF158)</f>
        <v>3838346</v>
      </c>
    </row>
    <row r="159" spans="1:65" s="4" customFormat="1">
      <c r="A159" s="4">
        <v>114</v>
      </c>
      <c r="B159" s="12" t="s">
        <v>181</v>
      </c>
      <c r="C159" s="12"/>
      <c r="D159" s="12" t="s">
        <v>81</v>
      </c>
      <c r="E159" s="12"/>
      <c r="F159" s="1">
        <v>850</v>
      </c>
      <c r="G159" s="1"/>
      <c r="H159" s="1">
        <v>558084</v>
      </c>
      <c r="I159" s="1"/>
      <c r="J159" s="1">
        <v>1602</v>
      </c>
      <c r="K159" s="1"/>
      <c r="L159" s="1">
        <v>13513</v>
      </c>
      <c r="M159" s="1"/>
      <c r="N159" s="1">
        <v>0</v>
      </c>
      <c r="O159" s="1"/>
      <c r="P159" s="1">
        <v>332</v>
      </c>
      <c r="Q159" s="1"/>
      <c r="R159" s="1">
        <v>5925</v>
      </c>
      <c r="S159" s="1"/>
      <c r="T159" s="1">
        <v>646</v>
      </c>
      <c r="U159" s="1"/>
      <c r="V159" s="1">
        <v>478</v>
      </c>
      <c r="W159" s="1"/>
      <c r="X159" s="1">
        <v>0</v>
      </c>
      <c r="Y159" s="1"/>
      <c r="Z159" s="1">
        <v>0</v>
      </c>
      <c r="AA159" s="1"/>
      <c r="AB159" s="1">
        <v>0</v>
      </c>
      <c r="AC159" s="1"/>
      <c r="AD159" s="1">
        <v>0</v>
      </c>
      <c r="AE159" s="1"/>
      <c r="AF159" s="1">
        <v>0</v>
      </c>
      <c r="AG159" s="15"/>
      <c r="AH159" s="4">
        <f t="shared" si="3"/>
        <v>581430</v>
      </c>
    </row>
    <row r="160" spans="1:65" s="4" customFormat="1">
      <c r="A160" s="4">
        <v>225</v>
      </c>
      <c r="B160" s="4" t="s">
        <v>306</v>
      </c>
      <c r="D160" s="4" t="s">
        <v>23</v>
      </c>
      <c r="F160" s="6">
        <v>330856.45</v>
      </c>
      <c r="G160" s="6"/>
      <c r="H160" s="6">
        <v>507115.99</v>
      </c>
      <c r="I160" s="6"/>
      <c r="J160" s="6">
        <v>0</v>
      </c>
      <c r="K160" s="6"/>
      <c r="L160" s="6">
        <v>21274.66</v>
      </c>
      <c r="M160" s="6"/>
      <c r="N160" s="6">
        <v>0</v>
      </c>
      <c r="O160" s="6"/>
      <c r="P160" s="6">
        <v>11088</v>
      </c>
      <c r="Q160" s="6"/>
      <c r="R160" s="6">
        <v>2063.9299999999998</v>
      </c>
      <c r="S160" s="6"/>
      <c r="T160" s="6">
        <v>0</v>
      </c>
      <c r="U160" s="6"/>
      <c r="V160" s="6">
        <v>8777.61</v>
      </c>
      <c r="W160" s="6"/>
      <c r="X160" s="6">
        <v>0</v>
      </c>
      <c r="Y160" s="6"/>
      <c r="Z160" s="6">
        <v>0</v>
      </c>
      <c r="AA160" s="6"/>
      <c r="AB160" s="6">
        <v>0</v>
      </c>
      <c r="AC160" s="6"/>
      <c r="AD160" s="6">
        <v>0</v>
      </c>
      <c r="AE160" s="6"/>
      <c r="AF160" s="6">
        <v>0</v>
      </c>
      <c r="AG160" s="6"/>
      <c r="AH160" s="6">
        <f>SUM(F160:AF160)</f>
        <v>881176.64</v>
      </c>
    </row>
    <row r="161" spans="1:65" s="4" customFormat="1">
      <c r="A161" s="4">
        <v>224</v>
      </c>
      <c r="B161" s="4" t="s">
        <v>182</v>
      </c>
      <c r="D161" s="4" t="s">
        <v>13</v>
      </c>
      <c r="F161" s="1">
        <v>270732</v>
      </c>
      <c r="G161" s="1"/>
      <c r="H161" s="1">
        <v>601862</v>
      </c>
      <c r="I161" s="1"/>
      <c r="J161" s="1">
        <v>43541</v>
      </c>
      <c r="K161" s="1"/>
      <c r="L161" s="1">
        <v>38678</v>
      </c>
      <c r="M161" s="1"/>
      <c r="N161" s="1">
        <v>0</v>
      </c>
      <c r="O161" s="1"/>
      <c r="P161" s="1">
        <v>0</v>
      </c>
      <c r="Q161" s="1"/>
      <c r="R161" s="1">
        <v>8974</v>
      </c>
      <c r="S161" s="1"/>
      <c r="T161" s="1">
        <v>28992</v>
      </c>
      <c r="U161" s="1"/>
      <c r="V161" s="1">
        <v>11028</v>
      </c>
      <c r="W161" s="1"/>
      <c r="X161" s="1">
        <v>0</v>
      </c>
      <c r="Y161" s="1"/>
      <c r="Z161" s="1">
        <v>0</v>
      </c>
      <c r="AA161" s="1"/>
      <c r="AB161" s="1">
        <v>0</v>
      </c>
      <c r="AC161" s="1"/>
      <c r="AD161" s="1">
        <v>0</v>
      </c>
      <c r="AE161" s="1"/>
      <c r="AF161" s="1">
        <v>0</v>
      </c>
      <c r="AH161" s="4">
        <f t="shared" si="3"/>
        <v>1003807</v>
      </c>
    </row>
    <row r="162" spans="1:65" s="4" customFormat="1">
      <c r="A162" s="4">
        <v>184</v>
      </c>
      <c r="B162" s="4" t="s">
        <v>590</v>
      </c>
      <c r="D162" s="4" t="s">
        <v>183</v>
      </c>
      <c r="F162" s="1">
        <v>3325157</v>
      </c>
      <c r="G162" s="1"/>
      <c r="H162" s="1">
        <v>3545176</v>
      </c>
      <c r="I162" s="1"/>
      <c r="J162" s="1">
        <f>431261+1612</f>
        <v>432873</v>
      </c>
      <c r="K162" s="1"/>
      <c r="L162" s="1">
        <v>229811</v>
      </c>
      <c r="M162" s="1"/>
      <c r="N162" s="1">
        <v>0</v>
      </c>
      <c r="O162" s="1"/>
      <c r="P162" s="1">
        <v>16938</v>
      </c>
      <c r="Q162" s="1"/>
      <c r="R162" s="1">
        <v>31066</v>
      </c>
      <c r="S162" s="1"/>
      <c r="T162" s="1">
        <v>21536</v>
      </c>
      <c r="U162" s="1"/>
      <c r="V162" s="1">
        <f>32721+102909</f>
        <v>135630</v>
      </c>
      <c r="W162" s="1"/>
      <c r="X162" s="1">
        <v>0</v>
      </c>
      <c r="Y162" s="1"/>
      <c r="Z162" s="1">
        <v>0</v>
      </c>
      <c r="AA162" s="1"/>
      <c r="AB162" s="1">
        <v>0</v>
      </c>
      <c r="AC162" s="1"/>
      <c r="AD162" s="1">
        <v>22000</v>
      </c>
      <c r="AE162" s="1"/>
      <c r="AF162" s="1">
        <v>0</v>
      </c>
      <c r="AH162" s="4">
        <f t="shared" si="3"/>
        <v>7760187</v>
      </c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 spans="1:65" s="4" customFormat="1">
      <c r="A163" s="4">
        <v>212</v>
      </c>
      <c r="B163" s="4" t="s">
        <v>184</v>
      </c>
      <c r="D163" s="4" t="s">
        <v>100</v>
      </c>
      <c r="F163" s="6">
        <v>0</v>
      </c>
      <c r="G163" s="6"/>
      <c r="H163" s="6">
        <v>48959.92</v>
      </c>
      <c r="I163" s="6"/>
      <c r="J163" s="6">
        <v>0</v>
      </c>
      <c r="K163" s="6"/>
      <c r="L163" s="6">
        <v>591.82000000000005</v>
      </c>
      <c r="M163" s="6"/>
      <c r="N163" s="6">
        <v>0</v>
      </c>
      <c r="O163" s="6"/>
      <c r="P163" s="6">
        <v>0</v>
      </c>
      <c r="Q163" s="6"/>
      <c r="R163" s="6">
        <v>0</v>
      </c>
      <c r="S163" s="6"/>
      <c r="T163" s="6">
        <v>538.25</v>
      </c>
      <c r="U163" s="6"/>
      <c r="V163" s="6">
        <v>51.77</v>
      </c>
      <c r="W163" s="6"/>
      <c r="X163" s="6">
        <v>0</v>
      </c>
      <c r="Y163" s="6"/>
      <c r="Z163" s="6">
        <v>0</v>
      </c>
      <c r="AA163" s="6"/>
      <c r="AB163" s="6">
        <v>0</v>
      </c>
      <c r="AC163" s="6"/>
      <c r="AD163" s="6">
        <v>0</v>
      </c>
      <c r="AE163" s="6"/>
      <c r="AF163" s="6">
        <v>0</v>
      </c>
      <c r="AG163" s="6"/>
      <c r="AH163" s="6">
        <f>SUM(F163:AF163)</f>
        <v>50141.759999999995</v>
      </c>
    </row>
    <row r="164" spans="1:65">
      <c r="A164" s="4">
        <v>124</v>
      </c>
      <c r="B164" s="4" t="s">
        <v>185</v>
      </c>
      <c r="C164" s="4"/>
      <c r="D164" s="4" t="s">
        <v>186</v>
      </c>
      <c r="E164" s="4"/>
      <c r="F164" s="1">
        <v>0</v>
      </c>
      <c r="G164" s="1"/>
      <c r="H164" s="1">
        <v>1954641</v>
      </c>
      <c r="I164" s="1"/>
      <c r="J164" s="1">
        <v>12766</v>
      </c>
      <c r="K164" s="1"/>
      <c r="L164" s="1">
        <v>46695</v>
      </c>
      <c r="M164" s="1"/>
      <c r="N164" s="1">
        <v>0</v>
      </c>
      <c r="O164" s="1"/>
      <c r="P164" s="1">
        <v>0</v>
      </c>
      <c r="Q164" s="1"/>
      <c r="R164" s="1">
        <v>13218</v>
      </c>
      <c r="S164" s="1"/>
      <c r="T164" s="1">
        <v>3407</v>
      </c>
      <c r="U164" s="1"/>
      <c r="V164" s="1">
        <v>19351</v>
      </c>
      <c r="W164" s="1"/>
      <c r="X164" s="1">
        <v>0</v>
      </c>
      <c r="Y164" s="1"/>
      <c r="Z164" s="1">
        <v>0</v>
      </c>
      <c r="AA164" s="1"/>
      <c r="AB164" s="1">
        <v>0</v>
      </c>
      <c r="AC164" s="1"/>
      <c r="AD164" s="1">
        <v>0</v>
      </c>
      <c r="AE164" s="1"/>
      <c r="AF164" s="1">
        <v>0</v>
      </c>
      <c r="AG164" s="4"/>
      <c r="AH164" s="4">
        <f t="shared" ref="AH164" si="5">SUM(F164:AF164)</f>
        <v>2050078</v>
      </c>
    </row>
    <row r="165" spans="1:65">
      <c r="A165" s="4">
        <v>38</v>
      </c>
      <c r="B165" s="35" t="s">
        <v>424</v>
      </c>
      <c r="C165" s="35"/>
      <c r="D165" s="35" t="s">
        <v>11</v>
      </c>
      <c r="E165" s="35"/>
      <c r="F165" s="6">
        <v>0</v>
      </c>
      <c r="G165" s="6"/>
      <c r="H165" s="6">
        <v>923983.98</v>
      </c>
      <c r="I165" s="6"/>
      <c r="J165" s="6">
        <v>29917</v>
      </c>
      <c r="K165" s="6"/>
      <c r="L165" s="6">
        <v>28158.69</v>
      </c>
      <c r="M165" s="6"/>
      <c r="N165" s="6">
        <v>0</v>
      </c>
      <c r="O165" s="6"/>
      <c r="P165" s="6">
        <v>0</v>
      </c>
      <c r="Q165" s="6"/>
      <c r="R165" s="6">
        <v>16832.060000000001</v>
      </c>
      <c r="S165" s="6"/>
      <c r="T165" s="6">
        <v>762.21</v>
      </c>
      <c r="U165" s="6"/>
      <c r="V165" s="6">
        <v>11156.1</v>
      </c>
      <c r="W165" s="6"/>
      <c r="X165" s="6">
        <v>0</v>
      </c>
      <c r="Y165" s="6"/>
      <c r="Z165" s="6">
        <v>0</v>
      </c>
      <c r="AA165" s="6"/>
      <c r="AB165" s="6">
        <v>0</v>
      </c>
      <c r="AC165" s="6"/>
      <c r="AD165" s="6">
        <v>0</v>
      </c>
      <c r="AE165" s="6"/>
      <c r="AF165" s="6">
        <v>0</v>
      </c>
      <c r="AG165" s="6"/>
      <c r="AH165" s="6">
        <f>SUM(F165:AF165)</f>
        <v>1010810.0399999999</v>
      </c>
    </row>
    <row r="166" spans="1:65" s="4" customFormat="1">
      <c r="N166" s="35"/>
      <c r="P166" s="35"/>
      <c r="R166" s="35"/>
      <c r="X166" s="35"/>
      <c r="Z166" s="35"/>
      <c r="AB166" s="35"/>
      <c r="AD166" s="35"/>
      <c r="AF166" s="3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 spans="1:65" s="4" customFormat="1">
      <c r="N167" s="35"/>
      <c r="P167" s="35"/>
      <c r="R167" s="35"/>
      <c r="X167" s="35"/>
      <c r="Z167" s="35"/>
      <c r="AB167" s="35"/>
      <c r="AD167" s="35"/>
      <c r="AF167" s="35"/>
      <c r="AH167" s="43" t="s">
        <v>580</v>
      </c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</row>
    <row r="168" spans="1:65">
      <c r="B168" s="3" t="s">
        <v>516</v>
      </c>
    </row>
    <row r="169" spans="1:65">
      <c r="B169" s="3" t="s">
        <v>626</v>
      </c>
    </row>
    <row r="170" spans="1:65">
      <c r="B170" s="41" t="s">
        <v>5</v>
      </c>
    </row>
    <row r="171" spans="1:65" s="36" customFormat="1">
      <c r="H171" s="36" t="s">
        <v>280</v>
      </c>
    </row>
    <row r="172" spans="1:65" s="36" customFormat="1">
      <c r="F172" s="36" t="s">
        <v>29</v>
      </c>
      <c r="H172" s="36" t="s">
        <v>281</v>
      </c>
      <c r="P172" s="36" t="s">
        <v>27</v>
      </c>
      <c r="R172" s="36" t="s">
        <v>287</v>
      </c>
      <c r="X172" s="36" t="s">
        <v>292</v>
      </c>
      <c r="AD172" s="36" t="s">
        <v>0</v>
      </c>
    </row>
    <row r="173" spans="1:65" s="36" customFormat="1" ht="12" customHeight="1">
      <c r="F173" s="36" t="s">
        <v>0</v>
      </c>
      <c r="H173" s="36" t="s">
        <v>282</v>
      </c>
      <c r="J173" s="36" t="s">
        <v>344</v>
      </c>
      <c r="L173" s="36" t="s">
        <v>284</v>
      </c>
      <c r="P173" s="36" t="s">
        <v>286</v>
      </c>
      <c r="R173" s="36" t="s">
        <v>288</v>
      </c>
      <c r="T173" s="36" t="s">
        <v>290</v>
      </c>
      <c r="X173" s="36" t="s">
        <v>293</v>
      </c>
      <c r="AD173" s="36" t="s">
        <v>294</v>
      </c>
      <c r="AF173" s="36" t="s">
        <v>552</v>
      </c>
    </row>
    <row r="174" spans="1:65" s="36" customFormat="1" ht="12" customHeight="1">
      <c r="A174" s="36" t="s">
        <v>567</v>
      </c>
      <c r="B174" s="37" t="s">
        <v>3</v>
      </c>
      <c r="D174" s="37" t="s">
        <v>4</v>
      </c>
      <c r="F174" s="37" t="s">
        <v>279</v>
      </c>
      <c r="H174" s="37" t="s">
        <v>283</v>
      </c>
      <c r="I174" s="44"/>
      <c r="J174" s="37" t="s">
        <v>345</v>
      </c>
      <c r="L174" s="37" t="s">
        <v>285</v>
      </c>
      <c r="N174" s="37" t="s">
        <v>549</v>
      </c>
      <c r="P174" s="37" t="s">
        <v>551</v>
      </c>
      <c r="R174" s="37" t="s">
        <v>289</v>
      </c>
      <c r="T174" s="37" t="s">
        <v>291</v>
      </c>
      <c r="V174" s="37" t="s">
        <v>1</v>
      </c>
      <c r="X174" s="37" t="s">
        <v>30</v>
      </c>
      <c r="Z174" s="37" t="s">
        <v>502</v>
      </c>
      <c r="AB174" s="37" t="s">
        <v>503</v>
      </c>
      <c r="AD174" s="37" t="s">
        <v>295</v>
      </c>
      <c r="AF174" s="37" t="s">
        <v>418</v>
      </c>
      <c r="AH174" s="45" t="s">
        <v>26</v>
      </c>
    </row>
    <row r="175" spans="1:65" s="4" customFormat="1">
      <c r="A175" s="4">
        <v>209</v>
      </c>
      <c r="B175" s="38" t="s">
        <v>187</v>
      </c>
      <c r="C175" s="38"/>
      <c r="D175" s="38" t="s">
        <v>183</v>
      </c>
      <c r="E175" s="38"/>
      <c r="F175" s="75">
        <v>0</v>
      </c>
      <c r="G175" s="75"/>
      <c r="H175" s="75">
        <v>445828.94</v>
      </c>
      <c r="I175" s="75"/>
      <c r="J175" s="75">
        <v>1300</v>
      </c>
      <c r="K175" s="75"/>
      <c r="L175" s="75">
        <v>21326.7</v>
      </c>
      <c r="M175" s="75"/>
      <c r="N175" s="75">
        <v>0</v>
      </c>
      <c r="O175" s="75"/>
      <c r="P175" s="75">
        <v>0</v>
      </c>
      <c r="Q175" s="75"/>
      <c r="R175" s="75">
        <v>10257.200000000001</v>
      </c>
      <c r="S175" s="75"/>
      <c r="T175" s="75">
        <v>17232.27</v>
      </c>
      <c r="U175" s="75"/>
      <c r="V175" s="75">
        <v>7729.47</v>
      </c>
      <c r="W175" s="75"/>
      <c r="X175" s="75">
        <v>0</v>
      </c>
      <c r="Y175" s="75"/>
      <c r="Z175" s="75">
        <v>50000</v>
      </c>
      <c r="AA175" s="75"/>
      <c r="AB175" s="75">
        <v>0</v>
      </c>
      <c r="AC175" s="75"/>
      <c r="AD175" s="75">
        <v>0</v>
      </c>
      <c r="AE175" s="75"/>
      <c r="AF175" s="75">
        <v>0</v>
      </c>
      <c r="AG175" s="75"/>
      <c r="AH175" s="75">
        <f>SUM(F175:AF175)</f>
        <v>553674.58000000007</v>
      </c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 spans="1:65" s="4" customFormat="1">
      <c r="A176" s="4">
        <v>23</v>
      </c>
      <c r="B176" s="35" t="s">
        <v>188</v>
      </c>
      <c r="C176" s="35"/>
      <c r="D176" s="35" t="s">
        <v>52</v>
      </c>
      <c r="E176" s="35"/>
      <c r="F176" s="6">
        <v>558106.30000000005</v>
      </c>
      <c r="G176" s="6"/>
      <c r="H176" s="6">
        <v>555919.61</v>
      </c>
      <c r="I176" s="6"/>
      <c r="J176" s="6">
        <v>68922.81</v>
      </c>
      <c r="K176" s="6"/>
      <c r="L176" s="6">
        <v>17848.669999999998</v>
      </c>
      <c r="M176" s="6"/>
      <c r="N176" s="6">
        <v>0</v>
      </c>
      <c r="O176" s="6"/>
      <c r="P176" s="6">
        <v>0</v>
      </c>
      <c r="Q176" s="6"/>
      <c r="R176" s="6">
        <v>2738.69</v>
      </c>
      <c r="S176" s="6"/>
      <c r="T176" s="6">
        <v>10478.030000000001</v>
      </c>
      <c r="U176" s="6"/>
      <c r="V176" s="6">
        <v>3490.18</v>
      </c>
      <c r="W176" s="6"/>
      <c r="X176" s="6">
        <v>0</v>
      </c>
      <c r="Y176" s="6"/>
      <c r="Z176" s="6">
        <v>0</v>
      </c>
      <c r="AA176" s="6"/>
      <c r="AB176" s="6">
        <v>0</v>
      </c>
      <c r="AC176" s="6"/>
      <c r="AD176" s="6">
        <v>0</v>
      </c>
      <c r="AE176" s="6"/>
      <c r="AF176" s="6">
        <v>0</v>
      </c>
      <c r="AG176" s="6"/>
      <c r="AH176" s="6">
        <f>SUM(F176:AF176)</f>
        <v>1217504.29</v>
      </c>
    </row>
    <row r="177" spans="1:65" s="4" customFormat="1">
      <c r="A177" s="4">
        <v>241</v>
      </c>
      <c r="B177" s="4" t="s">
        <v>189</v>
      </c>
      <c r="D177" s="4" t="s">
        <v>59</v>
      </c>
      <c r="F177" s="6">
        <v>0</v>
      </c>
      <c r="G177" s="6"/>
      <c r="H177" s="6">
        <v>382184.43</v>
      </c>
      <c r="I177" s="6"/>
      <c r="J177" s="6">
        <v>63691.53</v>
      </c>
      <c r="K177" s="6"/>
      <c r="L177" s="6">
        <v>18158.080000000002</v>
      </c>
      <c r="M177" s="6"/>
      <c r="N177" s="6">
        <v>0</v>
      </c>
      <c r="O177" s="6"/>
      <c r="P177" s="6">
        <v>0</v>
      </c>
      <c r="Q177" s="6"/>
      <c r="R177" s="6">
        <v>5551.28</v>
      </c>
      <c r="S177" s="6"/>
      <c r="T177" s="6">
        <v>106822.5</v>
      </c>
      <c r="U177" s="6"/>
      <c r="V177" s="6">
        <v>2477.86</v>
      </c>
      <c r="W177" s="6"/>
      <c r="X177" s="6">
        <v>0</v>
      </c>
      <c r="Y177" s="6"/>
      <c r="Z177" s="6">
        <v>0</v>
      </c>
      <c r="AA177" s="6"/>
      <c r="AB177" s="6">
        <v>0</v>
      </c>
      <c r="AC177" s="6"/>
      <c r="AD177" s="6">
        <v>0</v>
      </c>
      <c r="AE177" s="6"/>
      <c r="AF177" s="6">
        <v>2141.96</v>
      </c>
      <c r="AG177" s="6"/>
      <c r="AH177" s="6">
        <f>SUM(F177:AF177)</f>
        <v>581027.64</v>
      </c>
    </row>
    <row r="178" spans="1:65" s="4" customFormat="1">
      <c r="A178" s="4">
        <v>246</v>
      </c>
      <c r="B178" s="4" t="s">
        <v>190</v>
      </c>
      <c r="D178" s="4" t="s">
        <v>191</v>
      </c>
      <c r="F178" s="66">
        <v>620600</v>
      </c>
      <c r="G178" s="66"/>
      <c r="H178" s="66">
        <v>654598</v>
      </c>
      <c r="I178" s="66"/>
      <c r="J178" s="66">
        <v>272460</v>
      </c>
      <c r="K178" s="66"/>
      <c r="L178" s="66">
        <v>67129</v>
      </c>
      <c r="M178" s="66"/>
      <c r="N178" s="66">
        <v>0</v>
      </c>
      <c r="O178" s="66"/>
      <c r="P178" s="66">
        <v>0</v>
      </c>
      <c r="Q178" s="66"/>
      <c r="R178" s="66">
        <v>14299</v>
      </c>
      <c r="S178" s="66"/>
      <c r="T178" s="66">
        <v>1146</v>
      </c>
      <c r="U178" s="66"/>
      <c r="V178" s="66">
        <v>0</v>
      </c>
      <c r="W178" s="66"/>
      <c r="X178" s="66">
        <v>0</v>
      </c>
      <c r="Y178" s="66"/>
      <c r="Z178" s="66">
        <v>0</v>
      </c>
      <c r="AA178" s="66"/>
      <c r="AB178" s="66">
        <v>0</v>
      </c>
      <c r="AC178" s="66"/>
      <c r="AD178" s="66">
        <v>0</v>
      </c>
      <c r="AE178" s="66"/>
      <c r="AF178" s="66">
        <v>0</v>
      </c>
      <c r="AH178" s="4">
        <f t="shared" ref="AH178:AH237" si="6">SUM(F178:AF178)</f>
        <v>1630232</v>
      </c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</row>
    <row r="179" spans="1:65" s="4" customFormat="1">
      <c r="A179" s="4">
        <v>157</v>
      </c>
      <c r="B179" s="35" t="s">
        <v>192</v>
      </c>
      <c r="C179" s="35"/>
      <c r="D179" s="35" t="s">
        <v>52</v>
      </c>
      <c r="E179" s="35"/>
      <c r="F179" s="6">
        <v>1336756.25</v>
      </c>
      <c r="G179" s="6"/>
      <c r="H179" s="6">
        <v>1123508.3799999999</v>
      </c>
      <c r="I179" s="6"/>
      <c r="J179" s="6">
        <v>161178.6</v>
      </c>
      <c r="K179" s="6"/>
      <c r="L179" s="6">
        <v>59064.24</v>
      </c>
      <c r="M179" s="6"/>
      <c r="N179" s="6">
        <v>0</v>
      </c>
      <c r="O179" s="6"/>
      <c r="P179" s="6">
        <v>0</v>
      </c>
      <c r="Q179" s="6"/>
      <c r="R179" s="6">
        <v>8681.89</v>
      </c>
      <c r="S179" s="6"/>
      <c r="T179" s="6">
        <v>5987.33</v>
      </c>
      <c r="U179" s="6"/>
      <c r="V179" s="6">
        <v>2628.81</v>
      </c>
      <c r="W179" s="6"/>
      <c r="X179" s="6">
        <v>0</v>
      </c>
      <c r="Y179" s="6"/>
      <c r="Z179" s="6">
        <v>0</v>
      </c>
      <c r="AA179" s="6"/>
      <c r="AB179" s="6">
        <v>0</v>
      </c>
      <c r="AC179" s="6"/>
      <c r="AD179" s="6">
        <v>0</v>
      </c>
      <c r="AE179" s="6"/>
      <c r="AF179" s="6">
        <v>0</v>
      </c>
      <c r="AG179" s="6"/>
      <c r="AH179" s="6">
        <f>SUM(F179:AF179)</f>
        <v>2697805.5000000005</v>
      </c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</row>
    <row r="180" spans="1:65" s="4" customFormat="1">
      <c r="A180" s="4">
        <v>43</v>
      </c>
      <c r="B180" s="35" t="s">
        <v>453</v>
      </c>
      <c r="C180" s="35"/>
      <c r="D180" s="35" t="s">
        <v>23</v>
      </c>
      <c r="E180" s="35"/>
      <c r="F180" s="66">
        <v>751217</v>
      </c>
      <c r="G180" s="66"/>
      <c r="H180" s="66">
        <v>1287400</v>
      </c>
      <c r="I180" s="66"/>
      <c r="J180" s="66">
        <v>114757</v>
      </c>
      <c r="K180" s="66"/>
      <c r="L180" s="66">
        <v>45117</v>
      </c>
      <c r="M180" s="66"/>
      <c r="N180" s="66">
        <v>0</v>
      </c>
      <c r="O180" s="66"/>
      <c r="P180" s="66">
        <v>0</v>
      </c>
      <c r="Q180" s="66"/>
      <c r="R180" s="66">
        <v>4911</v>
      </c>
      <c r="S180" s="66"/>
      <c r="T180" s="66">
        <v>648</v>
      </c>
      <c r="U180" s="66"/>
      <c r="V180" s="66">
        <v>16028</v>
      </c>
      <c r="W180" s="66"/>
      <c r="X180" s="66">
        <v>0</v>
      </c>
      <c r="Y180" s="66"/>
      <c r="Z180" s="66">
        <v>0</v>
      </c>
      <c r="AA180" s="66"/>
      <c r="AB180" s="66">
        <v>0</v>
      </c>
      <c r="AC180" s="66"/>
      <c r="AD180" s="66">
        <v>0</v>
      </c>
      <c r="AE180" s="66"/>
      <c r="AF180" s="66">
        <v>0</v>
      </c>
      <c r="AG180" s="35"/>
      <c r="AH180" s="4">
        <f t="shared" si="6"/>
        <v>2220078</v>
      </c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</row>
    <row r="181" spans="1:65" s="4" customFormat="1">
      <c r="A181" s="4">
        <v>28</v>
      </c>
      <c r="B181" s="3" t="s">
        <v>336</v>
      </c>
      <c r="D181" s="4" t="s">
        <v>137</v>
      </c>
      <c r="F181" s="6">
        <v>0</v>
      </c>
      <c r="G181" s="6"/>
      <c r="H181" s="6">
        <v>249322.45</v>
      </c>
      <c r="I181" s="6"/>
      <c r="J181" s="6">
        <v>0</v>
      </c>
      <c r="K181" s="6"/>
      <c r="L181" s="6">
        <v>7431.49</v>
      </c>
      <c r="M181" s="6"/>
      <c r="N181" s="6">
        <v>0</v>
      </c>
      <c r="O181" s="6"/>
      <c r="P181" s="6">
        <v>0</v>
      </c>
      <c r="Q181" s="6"/>
      <c r="R181" s="6">
        <v>26776.93</v>
      </c>
      <c r="S181" s="6"/>
      <c r="T181" s="6">
        <v>8797.27</v>
      </c>
      <c r="U181" s="6"/>
      <c r="V181" s="6">
        <v>916.2</v>
      </c>
      <c r="W181" s="6"/>
      <c r="X181" s="6">
        <v>0</v>
      </c>
      <c r="Y181" s="6"/>
      <c r="Z181" s="6">
        <v>0</v>
      </c>
      <c r="AA181" s="6"/>
      <c r="AB181" s="6">
        <v>0</v>
      </c>
      <c r="AC181" s="6"/>
      <c r="AD181" s="6">
        <v>0</v>
      </c>
      <c r="AE181" s="6"/>
      <c r="AF181" s="6">
        <v>0</v>
      </c>
      <c r="AG181" s="6"/>
      <c r="AH181" s="6">
        <f>SUM(F181:AF181)</f>
        <v>293244.34000000003</v>
      </c>
    </row>
    <row r="182" spans="1:65" s="4" customFormat="1">
      <c r="A182" s="4">
        <v>113</v>
      </c>
      <c r="B182" s="4" t="s">
        <v>433</v>
      </c>
      <c r="D182" s="4" t="s">
        <v>54</v>
      </c>
      <c r="F182" s="66">
        <v>328887</v>
      </c>
      <c r="G182" s="66"/>
      <c r="H182" s="66">
        <v>861110</v>
      </c>
      <c r="I182" s="66"/>
      <c r="J182" s="66">
        <v>59613</v>
      </c>
      <c r="K182" s="66"/>
      <c r="L182" s="66">
        <v>21893</v>
      </c>
      <c r="M182" s="66"/>
      <c r="N182" s="66">
        <v>0</v>
      </c>
      <c r="O182" s="66"/>
      <c r="P182" s="66">
        <v>0</v>
      </c>
      <c r="Q182" s="66"/>
      <c r="R182" s="66">
        <v>2048</v>
      </c>
      <c r="S182" s="66"/>
      <c r="T182" s="66">
        <v>4981</v>
      </c>
      <c r="U182" s="66"/>
      <c r="V182" s="66">
        <v>21752</v>
      </c>
      <c r="W182" s="66"/>
      <c r="X182" s="66">
        <v>0</v>
      </c>
      <c r="Y182" s="66"/>
      <c r="Z182" s="66">
        <v>0</v>
      </c>
      <c r="AA182" s="66"/>
      <c r="AB182" s="66">
        <v>0</v>
      </c>
      <c r="AC182" s="66"/>
      <c r="AD182" s="66">
        <v>0</v>
      </c>
      <c r="AE182" s="66"/>
      <c r="AF182" s="66">
        <v>0</v>
      </c>
      <c r="AH182" s="4">
        <f t="shared" si="6"/>
        <v>1300284</v>
      </c>
    </row>
    <row r="183" spans="1:65" s="4" customFormat="1">
      <c r="A183" s="4">
        <v>136</v>
      </c>
      <c r="B183" s="35" t="s">
        <v>194</v>
      </c>
      <c r="C183" s="35"/>
      <c r="D183" s="35" t="s">
        <v>60</v>
      </c>
      <c r="E183" s="35"/>
      <c r="F183" s="6">
        <v>73999.03</v>
      </c>
      <c r="G183" s="6"/>
      <c r="H183" s="6">
        <v>251112.5</v>
      </c>
      <c r="I183" s="6"/>
      <c r="J183" s="6">
        <v>16561.849999999999</v>
      </c>
      <c r="K183" s="6"/>
      <c r="L183" s="6">
        <v>5913.5</v>
      </c>
      <c r="M183" s="6"/>
      <c r="N183" s="6">
        <v>0</v>
      </c>
      <c r="O183" s="6"/>
      <c r="P183" s="6">
        <v>0</v>
      </c>
      <c r="Q183" s="6"/>
      <c r="R183" s="6">
        <v>3267.14</v>
      </c>
      <c r="S183" s="6"/>
      <c r="T183" s="6">
        <v>202.1</v>
      </c>
      <c r="U183" s="6"/>
      <c r="V183" s="6">
        <v>6367.82</v>
      </c>
      <c r="W183" s="6"/>
      <c r="X183" s="6">
        <v>0</v>
      </c>
      <c r="Y183" s="6"/>
      <c r="Z183" s="6">
        <v>0</v>
      </c>
      <c r="AA183" s="6"/>
      <c r="AB183" s="6">
        <v>0</v>
      </c>
      <c r="AC183" s="6"/>
      <c r="AD183" s="6">
        <v>0</v>
      </c>
      <c r="AE183" s="6"/>
      <c r="AF183" s="6">
        <v>0</v>
      </c>
      <c r="AG183" s="6"/>
      <c r="AH183" s="6">
        <f>SUM(F183:AF183)</f>
        <v>357423.94</v>
      </c>
    </row>
    <row r="184" spans="1:65" s="4" customFormat="1">
      <c r="A184" s="4">
        <v>160</v>
      </c>
      <c r="B184" s="7" t="s">
        <v>591</v>
      </c>
      <c r="C184" s="7"/>
      <c r="D184" s="7" t="s">
        <v>18</v>
      </c>
      <c r="E184" s="7"/>
      <c r="F184" s="66">
        <v>4309407</v>
      </c>
      <c r="G184" s="66"/>
      <c r="H184" s="66">
        <v>3222083</v>
      </c>
      <c r="I184" s="66"/>
      <c r="J184" s="66">
        <v>582833</v>
      </c>
      <c r="K184" s="66"/>
      <c r="L184" s="66">
        <v>290635</v>
      </c>
      <c r="M184" s="66"/>
      <c r="N184" s="66">
        <v>0</v>
      </c>
      <c r="O184" s="66"/>
      <c r="P184" s="66">
        <v>0</v>
      </c>
      <c r="Q184" s="66"/>
      <c r="R184" s="66">
        <v>26989</v>
      </c>
      <c r="S184" s="66"/>
      <c r="T184" s="66">
        <v>13126</v>
      </c>
      <c r="U184" s="66"/>
      <c r="V184" s="66">
        <v>56903</v>
      </c>
      <c r="W184" s="66"/>
      <c r="X184" s="66">
        <v>0</v>
      </c>
      <c r="Y184" s="66"/>
      <c r="Z184" s="66">
        <v>0</v>
      </c>
      <c r="AA184" s="66"/>
      <c r="AB184" s="66">
        <v>0</v>
      </c>
      <c r="AC184" s="66"/>
      <c r="AD184" s="66">
        <v>0</v>
      </c>
      <c r="AE184" s="66"/>
      <c r="AF184" s="66">
        <v>0</v>
      </c>
      <c r="AH184" s="4">
        <f t="shared" si="6"/>
        <v>8501976</v>
      </c>
    </row>
    <row r="185" spans="1:65" s="4" customFormat="1">
      <c r="A185" s="4">
        <v>190</v>
      </c>
      <c r="B185" s="35" t="s">
        <v>483</v>
      </c>
      <c r="C185" s="35"/>
      <c r="D185" s="35" t="s">
        <v>426</v>
      </c>
      <c r="E185" s="35"/>
      <c r="F185" s="74">
        <v>0</v>
      </c>
      <c r="G185" s="74"/>
      <c r="H185" s="74">
        <v>696766.54</v>
      </c>
      <c r="I185" s="74"/>
      <c r="J185" s="74">
        <v>0</v>
      </c>
      <c r="K185" s="74"/>
      <c r="L185" s="74">
        <v>19431.240000000002</v>
      </c>
      <c r="M185" s="74"/>
      <c r="N185" s="74">
        <v>0</v>
      </c>
      <c r="O185" s="74"/>
      <c r="P185" s="74">
        <v>0</v>
      </c>
      <c r="Q185" s="74"/>
      <c r="R185" s="74">
        <v>9379.9599999999991</v>
      </c>
      <c r="S185" s="74"/>
      <c r="T185" s="74">
        <v>15238.89</v>
      </c>
      <c r="U185" s="74"/>
      <c r="V185" s="74">
        <v>24282.33</v>
      </c>
      <c r="W185" s="74"/>
      <c r="X185" s="74">
        <v>0</v>
      </c>
      <c r="Y185" s="74"/>
      <c r="Z185" s="74">
        <v>0</v>
      </c>
      <c r="AA185" s="74"/>
      <c r="AB185" s="74">
        <v>0</v>
      </c>
      <c r="AC185" s="74"/>
      <c r="AD185" s="74">
        <v>0</v>
      </c>
      <c r="AE185" s="74"/>
      <c r="AF185" s="74">
        <v>0</v>
      </c>
      <c r="AG185" s="74"/>
      <c r="AH185" s="74">
        <f>SUM(F185:AF185)</f>
        <v>765098.96</v>
      </c>
    </row>
    <row r="186" spans="1:65" s="4" customFormat="1">
      <c r="A186" s="4">
        <v>149</v>
      </c>
      <c r="B186" s="4" t="s">
        <v>12</v>
      </c>
      <c r="D186" s="4" t="s">
        <v>13</v>
      </c>
      <c r="F186" s="66">
        <v>2059577</v>
      </c>
      <c r="G186" s="66"/>
      <c r="H186" s="66">
        <v>1588833</v>
      </c>
      <c r="I186" s="66"/>
      <c r="J186" s="66">
        <v>0</v>
      </c>
      <c r="K186" s="66"/>
      <c r="L186" s="66">
        <v>104442</v>
      </c>
      <c r="M186" s="66"/>
      <c r="N186" s="66">
        <v>0</v>
      </c>
      <c r="O186" s="66"/>
      <c r="P186" s="66">
        <v>13046</v>
      </c>
      <c r="Q186" s="66"/>
      <c r="R186" s="66">
        <v>4661</v>
      </c>
      <c r="S186" s="66"/>
      <c r="T186" s="66">
        <v>3275</v>
      </c>
      <c r="U186" s="66"/>
      <c r="V186" s="66">
        <v>13785</v>
      </c>
      <c r="W186" s="66"/>
      <c r="X186" s="66">
        <v>0</v>
      </c>
      <c r="Y186" s="66"/>
      <c r="Z186" s="66">
        <v>0</v>
      </c>
      <c r="AA186" s="66"/>
      <c r="AB186" s="66">
        <v>75000</v>
      </c>
      <c r="AC186" s="66"/>
      <c r="AD186" s="66">
        <v>0</v>
      </c>
      <c r="AE186" s="66"/>
      <c r="AF186" s="66">
        <v>0</v>
      </c>
      <c r="AH186" s="4">
        <f t="shared" si="6"/>
        <v>3862619</v>
      </c>
    </row>
    <row r="187" spans="1:65" s="4" customFormat="1">
      <c r="A187" s="4">
        <v>128</v>
      </c>
      <c r="B187" s="35" t="s">
        <v>592</v>
      </c>
      <c r="C187" s="35"/>
      <c r="D187" s="35" t="s">
        <v>48</v>
      </c>
      <c r="E187" s="35"/>
      <c r="F187" s="6">
        <v>229134.23</v>
      </c>
      <c r="G187" s="6"/>
      <c r="H187" s="6">
        <v>769103.87</v>
      </c>
      <c r="I187" s="6"/>
      <c r="J187" s="6">
        <v>35708.11</v>
      </c>
      <c r="K187" s="6"/>
      <c r="L187" s="6">
        <v>11605.71</v>
      </c>
      <c r="M187" s="6"/>
      <c r="N187" s="6">
        <v>0</v>
      </c>
      <c r="O187" s="6"/>
      <c r="P187" s="6">
        <v>0</v>
      </c>
      <c r="Q187" s="6"/>
      <c r="R187" s="6">
        <v>130</v>
      </c>
      <c r="S187" s="6"/>
      <c r="T187" s="6">
        <v>104.22</v>
      </c>
      <c r="U187" s="6"/>
      <c r="V187" s="6">
        <v>2527.2399999999998</v>
      </c>
      <c r="W187" s="6"/>
      <c r="X187" s="6">
        <v>0</v>
      </c>
      <c r="Y187" s="6"/>
      <c r="Z187" s="6">
        <v>0</v>
      </c>
      <c r="AA187" s="6"/>
      <c r="AB187" s="6">
        <v>0</v>
      </c>
      <c r="AC187" s="6"/>
      <c r="AD187" s="6">
        <v>0</v>
      </c>
      <c r="AE187" s="6"/>
      <c r="AF187" s="6">
        <v>0</v>
      </c>
      <c r="AG187" s="6"/>
      <c r="AH187" s="6">
        <f>SUM(F187:AF187)</f>
        <v>1048313.3799999999</v>
      </c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</row>
    <row r="188" spans="1:65" s="4" customFormat="1">
      <c r="A188" s="4">
        <v>110</v>
      </c>
      <c r="B188" s="4" t="s">
        <v>195</v>
      </c>
      <c r="D188" s="4" t="s">
        <v>8</v>
      </c>
      <c r="F188" s="66">
        <v>3108970</v>
      </c>
      <c r="G188" s="66"/>
      <c r="H188" s="66">
        <v>4549772</v>
      </c>
      <c r="I188" s="66"/>
      <c r="J188" s="66">
        <v>0</v>
      </c>
      <c r="K188" s="66"/>
      <c r="L188" s="66">
        <v>252122</v>
      </c>
      <c r="M188" s="66"/>
      <c r="N188" s="66">
        <v>0</v>
      </c>
      <c r="O188" s="66"/>
      <c r="P188" s="66">
        <v>0</v>
      </c>
      <c r="Q188" s="66"/>
      <c r="R188" s="66">
        <v>33252</v>
      </c>
      <c r="S188" s="66"/>
      <c r="T188" s="66">
        <v>8707</v>
      </c>
      <c r="U188" s="66"/>
      <c r="V188" s="66">
        <v>43704</v>
      </c>
      <c r="W188" s="66"/>
      <c r="X188" s="66">
        <v>0</v>
      </c>
      <c r="Y188" s="66"/>
      <c r="Z188" s="66">
        <v>0</v>
      </c>
      <c r="AA188" s="66"/>
      <c r="AB188" s="66">
        <v>0</v>
      </c>
      <c r="AC188" s="66"/>
      <c r="AD188" s="66">
        <v>0</v>
      </c>
      <c r="AE188" s="66"/>
      <c r="AF188" s="66">
        <v>0</v>
      </c>
      <c r="AH188" s="4">
        <f t="shared" si="6"/>
        <v>7996527</v>
      </c>
    </row>
    <row r="189" spans="1:65" s="4" customFormat="1">
      <c r="A189" s="4">
        <v>253</v>
      </c>
      <c r="B189" s="4" t="s">
        <v>196</v>
      </c>
      <c r="D189" s="4" t="s">
        <v>165</v>
      </c>
      <c r="F189" s="6">
        <v>330687.73</v>
      </c>
      <c r="G189" s="6"/>
      <c r="H189" s="6">
        <v>332609.71999999997</v>
      </c>
      <c r="I189" s="6"/>
      <c r="J189" s="6">
        <v>56022.11</v>
      </c>
      <c r="K189" s="6"/>
      <c r="L189" s="6">
        <v>17826.939999999999</v>
      </c>
      <c r="M189" s="6"/>
      <c r="N189" s="6">
        <v>0</v>
      </c>
      <c r="O189" s="6"/>
      <c r="P189" s="6">
        <v>0</v>
      </c>
      <c r="Q189" s="6"/>
      <c r="R189" s="6">
        <v>4633.1000000000004</v>
      </c>
      <c r="S189" s="6"/>
      <c r="T189" s="6">
        <v>14989.37</v>
      </c>
      <c r="U189" s="6"/>
      <c r="V189" s="6">
        <v>1179.8399999999999</v>
      </c>
      <c r="W189" s="6"/>
      <c r="X189" s="6">
        <v>51</v>
      </c>
      <c r="Y189" s="6"/>
      <c r="Z189" s="6">
        <v>0</v>
      </c>
      <c r="AA189" s="6"/>
      <c r="AB189" s="6">
        <v>0</v>
      </c>
      <c r="AC189" s="6"/>
      <c r="AD189" s="6">
        <v>0</v>
      </c>
      <c r="AE189" s="6"/>
      <c r="AF189" s="6">
        <v>68.27</v>
      </c>
      <c r="AG189" s="6"/>
      <c r="AH189" s="6">
        <f>SUM(F189:AF189)</f>
        <v>758068.07999999984</v>
      </c>
    </row>
    <row r="190" spans="1:65" s="4" customFormat="1">
      <c r="A190" s="4">
        <v>1</v>
      </c>
      <c r="B190" s="4" t="s">
        <v>197</v>
      </c>
      <c r="D190" s="4" t="s">
        <v>51</v>
      </c>
      <c r="F190" s="6">
        <v>109459.99</v>
      </c>
      <c r="G190" s="6"/>
      <c r="H190" s="6">
        <v>340467.18</v>
      </c>
      <c r="I190" s="6"/>
      <c r="J190" s="6">
        <v>18890.990000000002</v>
      </c>
      <c r="K190" s="6"/>
      <c r="L190" s="6">
        <v>9770.59</v>
      </c>
      <c r="M190" s="6"/>
      <c r="N190" s="6">
        <v>0</v>
      </c>
      <c r="O190" s="6"/>
      <c r="P190" s="6">
        <v>0</v>
      </c>
      <c r="Q190" s="6"/>
      <c r="R190" s="6">
        <v>3446.73</v>
      </c>
      <c r="S190" s="6"/>
      <c r="T190" s="6">
        <v>958.16</v>
      </c>
      <c r="U190" s="6"/>
      <c r="V190" s="6">
        <v>5414.65</v>
      </c>
      <c r="W190" s="6"/>
      <c r="X190" s="6">
        <v>0</v>
      </c>
      <c r="Y190" s="6"/>
      <c r="Z190" s="6">
        <v>0</v>
      </c>
      <c r="AA190" s="6"/>
      <c r="AB190" s="6">
        <v>0</v>
      </c>
      <c r="AC190" s="6"/>
      <c r="AD190" s="6">
        <v>0</v>
      </c>
      <c r="AE190" s="6"/>
      <c r="AF190" s="6">
        <v>0</v>
      </c>
      <c r="AG190" s="6"/>
      <c r="AH190" s="6">
        <f>SUM(F190:AF190)</f>
        <v>488408.29</v>
      </c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</row>
    <row r="191" spans="1:65" s="4" customFormat="1">
      <c r="A191" s="4">
        <v>73</v>
      </c>
      <c r="B191" s="4" t="s">
        <v>198</v>
      </c>
      <c r="D191" s="4" t="s">
        <v>23</v>
      </c>
      <c r="F191" s="74">
        <v>6.25</v>
      </c>
      <c r="G191" s="74"/>
      <c r="H191" s="74">
        <v>681814.27</v>
      </c>
      <c r="I191" s="74"/>
      <c r="J191" s="74">
        <v>450</v>
      </c>
      <c r="K191" s="74"/>
      <c r="L191" s="74">
        <v>19951.330000000002</v>
      </c>
      <c r="M191" s="74"/>
      <c r="N191" s="74">
        <v>0</v>
      </c>
      <c r="O191" s="74"/>
      <c r="P191" s="74">
        <v>0</v>
      </c>
      <c r="Q191" s="74"/>
      <c r="R191" s="74">
        <v>4555.13</v>
      </c>
      <c r="S191" s="74"/>
      <c r="T191" s="74">
        <v>270.45999999999998</v>
      </c>
      <c r="U191" s="74"/>
      <c r="V191" s="74">
        <v>2815.2</v>
      </c>
      <c r="W191" s="74"/>
      <c r="X191" s="74">
        <v>0</v>
      </c>
      <c r="Y191" s="74"/>
      <c r="Z191" s="74">
        <v>0</v>
      </c>
      <c r="AA191" s="74"/>
      <c r="AB191" s="74">
        <v>0</v>
      </c>
      <c r="AC191" s="74"/>
      <c r="AD191" s="74">
        <v>0</v>
      </c>
      <c r="AE191" s="74"/>
      <c r="AF191" s="74">
        <v>0</v>
      </c>
      <c r="AG191" s="74"/>
      <c r="AH191" s="74">
        <f>SUM(F191:AF191)</f>
        <v>709862.6399999999</v>
      </c>
    </row>
    <row r="192" spans="1:65" s="4" customFormat="1">
      <c r="A192" s="4">
        <v>163</v>
      </c>
      <c r="B192" s="4" t="s">
        <v>307</v>
      </c>
      <c r="D192" s="4" t="s">
        <v>61</v>
      </c>
      <c r="F192" s="6">
        <v>77036.19</v>
      </c>
      <c r="G192" s="6"/>
      <c r="H192" s="6">
        <v>207326.83</v>
      </c>
      <c r="I192" s="6"/>
      <c r="J192" s="6">
        <v>12558.64</v>
      </c>
      <c r="K192" s="6"/>
      <c r="L192" s="6">
        <v>7571.79</v>
      </c>
      <c r="M192" s="6"/>
      <c r="N192" s="6">
        <v>0</v>
      </c>
      <c r="O192" s="6"/>
      <c r="P192" s="6">
        <v>0</v>
      </c>
      <c r="Q192" s="6"/>
      <c r="R192" s="6">
        <v>12965.16</v>
      </c>
      <c r="S192" s="6"/>
      <c r="T192" s="6">
        <v>393.97</v>
      </c>
      <c r="U192" s="6"/>
      <c r="V192" s="6">
        <v>505.24</v>
      </c>
      <c r="W192" s="6"/>
      <c r="X192" s="6">
        <v>0</v>
      </c>
      <c r="Y192" s="6"/>
      <c r="Z192" s="6">
        <v>0</v>
      </c>
      <c r="AA192" s="6"/>
      <c r="AB192" s="6">
        <v>0</v>
      </c>
      <c r="AC192" s="6"/>
      <c r="AD192" s="6">
        <v>0</v>
      </c>
      <c r="AE192" s="6"/>
      <c r="AF192" s="6">
        <v>0</v>
      </c>
      <c r="AG192" s="6"/>
      <c r="AH192" s="6">
        <f>SUM(F192:AF192)</f>
        <v>318357.81999999995</v>
      </c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</row>
    <row r="193" spans="1:65" s="4" customFormat="1">
      <c r="A193" s="4">
        <v>146</v>
      </c>
      <c r="B193" s="35" t="s">
        <v>501</v>
      </c>
      <c r="C193" s="35"/>
      <c r="D193" s="35" t="s">
        <v>62</v>
      </c>
      <c r="E193" s="35"/>
      <c r="F193" s="6">
        <v>0</v>
      </c>
      <c r="G193" s="6"/>
      <c r="H193" s="6">
        <v>472091.73</v>
      </c>
      <c r="I193" s="6"/>
      <c r="J193" s="6">
        <v>0</v>
      </c>
      <c r="K193" s="6"/>
      <c r="L193" s="6">
        <v>14717.81</v>
      </c>
      <c r="M193" s="6"/>
      <c r="N193" s="6">
        <v>0</v>
      </c>
      <c r="O193" s="6"/>
      <c r="P193" s="6">
        <v>0</v>
      </c>
      <c r="Q193" s="6"/>
      <c r="R193" s="6">
        <v>636.02</v>
      </c>
      <c r="S193" s="6"/>
      <c r="T193" s="6">
        <v>215.82</v>
      </c>
      <c r="U193" s="6"/>
      <c r="V193" s="6">
        <v>11339.09</v>
      </c>
      <c r="W193" s="6"/>
      <c r="X193" s="6">
        <v>0</v>
      </c>
      <c r="Y193" s="6"/>
      <c r="Z193" s="6">
        <v>0</v>
      </c>
      <c r="AA193" s="6"/>
      <c r="AB193" s="6">
        <v>0</v>
      </c>
      <c r="AC193" s="6"/>
      <c r="AD193" s="6">
        <v>0</v>
      </c>
      <c r="AE193" s="6"/>
      <c r="AF193" s="6">
        <v>0</v>
      </c>
      <c r="AG193" s="6"/>
      <c r="AH193" s="6">
        <f>SUM(F193:AF193)</f>
        <v>499000.47000000003</v>
      </c>
    </row>
    <row r="194" spans="1:65" s="4" customFormat="1">
      <c r="A194" s="4">
        <v>227</v>
      </c>
      <c r="B194" s="4" t="s">
        <v>200</v>
      </c>
      <c r="D194" s="4" t="s">
        <v>87</v>
      </c>
      <c r="F194" s="66">
        <v>97606</v>
      </c>
      <c r="G194" s="66"/>
      <c r="H194" s="66">
        <v>0</v>
      </c>
      <c r="I194" s="66"/>
      <c r="J194" s="66">
        <v>0</v>
      </c>
      <c r="K194" s="66"/>
      <c r="L194" s="66">
        <v>3743</v>
      </c>
      <c r="M194" s="66"/>
      <c r="N194" s="66">
        <v>0</v>
      </c>
      <c r="O194" s="66"/>
      <c r="P194" s="66">
        <v>0</v>
      </c>
      <c r="Q194" s="66"/>
      <c r="R194" s="66">
        <v>3539</v>
      </c>
      <c r="S194" s="66"/>
      <c r="T194" s="66">
        <v>984</v>
      </c>
      <c r="U194" s="66"/>
      <c r="V194" s="66">
        <v>1111</v>
      </c>
      <c r="W194" s="66"/>
      <c r="X194" s="66">
        <v>0</v>
      </c>
      <c r="Y194" s="66"/>
      <c r="Z194" s="66">
        <v>0</v>
      </c>
      <c r="AA194" s="66"/>
      <c r="AB194" s="66">
        <v>0</v>
      </c>
      <c r="AC194" s="66"/>
      <c r="AD194" s="66">
        <v>0</v>
      </c>
      <c r="AE194" s="66"/>
      <c r="AF194" s="66">
        <v>0</v>
      </c>
      <c r="AH194" s="4">
        <f t="shared" si="6"/>
        <v>106983</v>
      </c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</row>
    <row r="195" spans="1:65" s="4" customFormat="1">
      <c r="A195" s="4">
        <v>108</v>
      </c>
      <c r="B195" s="4" t="s">
        <v>201</v>
      </c>
      <c r="D195" s="4" t="s">
        <v>202</v>
      </c>
      <c r="F195" s="66">
        <v>0</v>
      </c>
      <c r="G195" s="66"/>
      <c r="H195" s="66">
        <v>216083</v>
      </c>
      <c r="I195" s="66"/>
      <c r="J195" s="66">
        <v>0</v>
      </c>
      <c r="K195" s="66"/>
      <c r="L195" s="66">
        <v>9904</v>
      </c>
      <c r="M195" s="66"/>
      <c r="N195" s="66">
        <v>0</v>
      </c>
      <c r="O195" s="66"/>
      <c r="P195" s="66">
        <v>0</v>
      </c>
      <c r="Q195" s="66"/>
      <c r="R195" s="66">
        <v>4540</v>
      </c>
      <c r="S195" s="66"/>
      <c r="T195" s="66">
        <v>4006</v>
      </c>
      <c r="U195" s="66"/>
      <c r="V195" s="66">
        <v>3705</v>
      </c>
      <c r="W195" s="66"/>
      <c r="X195" s="66">
        <v>0</v>
      </c>
      <c r="Y195" s="66"/>
      <c r="Z195" s="66">
        <v>0</v>
      </c>
      <c r="AA195" s="66"/>
      <c r="AB195" s="66">
        <v>0</v>
      </c>
      <c r="AC195" s="66"/>
      <c r="AD195" s="66">
        <v>0</v>
      </c>
      <c r="AE195" s="66"/>
      <c r="AF195" s="66">
        <v>0</v>
      </c>
      <c r="AH195" s="4">
        <f t="shared" si="6"/>
        <v>238238</v>
      </c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</row>
    <row r="196" spans="1:65" s="4" customFormat="1">
      <c r="A196" s="4">
        <v>72</v>
      </c>
      <c r="B196" s="4" t="s">
        <v>203</v>
      </c>
      <c r="D196" s="4" t="s">
        <v>13</v>
      </c>
      <c r="F196" s="66">
        <v>1022255</v>
      </c>
      <c r="G196" s="66"/>
      <c r="H196" s="66">
        <v>1326662</v>
      </c>
      <c r="I196" s="66"/>
      <c r="J196" s="66">
        <v>222683</v>
      </c>
      <c r="K196" s="66"/>
      <c r="L196" s="66">
        <v>91987</v>
      </c>
      <c r="M196" s="66"/>
      <c r="N196" s="66">
        <v>0</v>
      </c>
      <c r="O196" s="66"/>
      <c r="P196" s="66">
        <v>0</v>
      </c>
      <c r="Q196" s="66"/>
      <c r="R196" s="66">
        <v>3180</v>
      </c>
      <c r="S196" s="66"/>
      <c r="T196" s="66">
        <v>7203</v>
      </c>
      <c r="U196" s="66"/>
      <c r="V196" s="66">
        <v>9391</v>
      </c>
      <c r="W196" s="66"/>
      <c r="X196" s="66">
        <v>8000</v>
      </c>
      <c r="Y196" s="66"/>
      <c r="Z196" s="66">
        <v>0</v>
      </c>
      <c r="AA196" s="66"/>
      <c r="AB196" s="66">
        <v>0</v>
      </c>
      <c r="AC196" s="66"/>
      <c r="AD196" s="66">
        <v>0</v>
      </c>
      <c r="AE196" s="66"/>
      <c r="AF196" s="66">
        <v>0</v>
      </c>
      <c r="AH196" s="4">
        <f t="shared" si="6"/>
        <v>2691361</v>
      </c>
    </row>
    <row r="197" spans="1:65" s="4" customFormat="1">
      <c r="A197" s="4">
        <v>21</v>
      </c>
      <c r="B197" s="4" t="s">
        <v>204</v>
      </c>
      <c r="D197" s="4" t="s">
        <v>66</v>
      </c>
      <c r="F197" s="6">
        <v>0</v>
      </c>
      <c r="G197" s="6"/>
      <c r="H197" s="6">
        <v>227715.84</v>
      </c>
      <c r="I197" s="6"/>
      <c r="J197" s="6">
        <v>0</v>
      </c>
      <c r="K197" s="6"/>
      <c r="L197" s="6">
        <v>8004.97</v>
      </c>
      <c r="M197" s="6"/>
      <c r="N197" s="6">
        <v>0</v>
      </c>
      <c r="O197" s="6"/>
      <c r="P197" s="6">
        <v>0</v>
      </c>
      <c r="Q197" s="6"/>
      <c r="R197" s="6">
        <v>4473.53</v>
      </c>
      <c r="S197" s="6"/>
      <c r="T197" s="6">
        <v>994.37</v>
      </c>
      <c r="U197" s="6"/>
      <c r="V197" s="6">
        <v>6168.53</v>
      </c>
      <c r="W197" s="6"/>
      <c r="X197" s="6">
        <v>0</v>
      </c>
      <c r="Y197" s="6"/>
      <c r="Z197" s="6">
        <v>0</v>
      </c>
      <c r="AA197" s="6"/>
      <c r="AB197" s="6">
        <v>0</v>
      </c>
      <c r="AC197" s="6"/>
      <c r="AD197" s="6">
        <v>0</v>
      </c>
      <c r="AE197" s="6"/>
      <c r="AF197" s="6">
        <v>0</v>
      </c>
      <c r="AG197" s="6"/>
      <c r="AH197" s="6">
        <f>SUM(F197:AF197)</f>
        <v>247357.24</v>
      </c>
    </row>
    <row r="198" spans="1:65" s="4" customFormat="1">
      <c r="A198" s="4">
        <v>125</v>
      </c>
      <c r="B198" s="4" t="s">
        <v>205</v>
      </c>
      <c r="D198" s="4" t="s">
        <v>10</v>
      </c>
      <c r="F198" s="6">
        <v>0</v>
      </c>
      <c r="G198" s="6"/>
      <c r="H198" s="6">
        <v>186754.93</v>
      </c>
      <c r="I198" s="6"/>
      <c r="J198" s="6">
        <v>0</v>
      </c>
      <c r="K198" s="6"/>
      <c r="L198" s="6">
        <v>3112.41</v>
      </c>
      <c r="M198" s="6"/>
      <c r="N198" s="6">
        <v>0</v>
      </c>
      <c r="O198" s="6"/>
      <c r="P198" s="6">
        <v>0</v>
      </c>
      <c r="Q198" s="6"/>
      <c r="R198" s="6">
        <v>6546.1</v>
      </c>
      <c r="S198" s="6"/>
      <c r="T198" s="6">
        <v>30.3</v>
      </c>
      <c r="U198" s="6"/>
      <c r="V198" s="6">
        <v>496.07</v>
      </c>
      <c r="W198" s="6"/>
      <c r="X198" s="6">
        <v>0</v>
      </c>
      <c r="Y198" s="6"/>
      <c r="Z198" s="6">
        <v>0</v>
      </c>
      <c r="AA198" s="6"/>
      <c r="AB198" s="6">
        <v>0</v>
      </c>
      <c r="AC198" s="6"/>
      <c r="AD198" s="6">
        <v>0</v>
      </c>
      <c r="AE198" s="6"/>
      <c r="AF198" s="6">
        <v>0</v>
      </c>
      <c r="AG198" s="6"/>
      <c r="AH198" s="6">
        <f>SUM(F198:AF198)</f>
        <v>196939.81</v>
      </c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</row>
    <row r="199" spans="1:65" s="4" customFormat="1">
      <c r="A199" s="4">
        <v>140</v>
      </c>
      <c r="B199" s="4" t="s">
        <v>425</v>
      </c>
      <c r="D199" s="4" t="s">
        <v>14</v>
      </c>
      <c r="F199" s="66">
        <v>1065277</v>
      </c>
      <c r="G199" s="66"/>
      <c r="H199" s="66">
        <v>1262024</v>
      </c>
      <c r="I199" s="66"/>
      <c r="J199" s="66">
        <v>163038</v>
      </c>
      <c r="K199" s="66"/>
      <c r="L199" s="66">
        <v>27888</v>
      </c>
      <c r="M199" s="66"/>
      <c r="N199" s="66">
        <v>0</v>
      </c>
      <c r="O199" s="66"/>
      <c r="P199" s="66">
        <v>0</v>
      </c>
      <c r="Q199" s="66"/>
      <c r="R199" s="66">
        <v>0</v>
      </c>
      <c r="S199" s="66"/>
      <c r="T199" s="66">
        <v>2289</v>
      </c>
      <c r="U199" s="66"/>
      <c r="V199" s="66">
        <v>24427</v>
      </c>
      <c r="W199" s="66"/>
      <c r="X199" s="66">
        <v>0</v>
      </c>
      <c r="Y199" s="66"/>
      <c r="Z199" s="66">
        <v>0</v>
      </c>
      <c r="AA199" s="66"/>
      <c r="AB199" s="66">
        <v>0</v>
      </c>
      <c r="AC199" s="66"/>
      <c r="AD199" s="66">
        <v>0</v>
      </c>
      <c r="AE199" s="66"/>
      <c r="AF199" s="66">
        <v>0</v>
      </c>
      <c r="AH199" s="4">
        <f t="shared" si="6"/>
        <v>2544943</v>
      </c>
    </row>
    <row r="200" spans="1:65" s="4" customFormat="1">
      <c r="A200" s="4">
        <v>187</v>
      </c>
      <c r="B200" s="4" t="s">
        <v>593</v>
      </c>
      <c r="D200" s="4" t="s">
        <v>207</v>
      </c>
      <c r="F200" s="66">
        <v>1576607</v>
      </c>
      <c r="G200" s="66"/>
      <c r="H200" s="4">
        <v>0</v>
      </c>
      <c r="I200" s="66"/>
      <c r="J200" s="66">
        <v>2516327</v>
      </c>
      <c r="K200" s="66"/>
      <c r="L200" s="66">
        <v>84599</v>
      </c>
      <c r="M200" s="66"/>
      <c r="N200" s="66">
        <v>0</v>
      </c>
      <c r="O200" s="66"/>
      <c r="P200" s="66">
        <v>11915</v>
      </c>
      <c r="Q200" s="66"/>
      <c r="R200" s="66">
        <v>17986</v>
      </c>
      <c r="S200" s="66"/>
      <c r="T200" s="66">
        <v>19970</v>
      </c>
      <c r="U200" s="66"/>
      <c r="V200" s="66">
        <v>39165</v>
      </c>
      <c r="W200" s="66"/>
      <c r="X200" s="66">
        <v>0</v>
      </c>
      <c r="Y200" s="66"/>
      <c r="Z200" s="66">
        <v>0</v>
      </c>
      <c r="AA200" s="66"/>
      <c r="AB200" s="66">
        <v>0</v>
      </c>
      <c r="AC200" s="66"/>
      <c r="AD200" s="66">
        <v>0</v>
      </c>
      <c r="AE200" s="66"/>
      <c r="AF200" s="66">
        <v>0</v>
      </c>
      <c r="AH200" s="4">
        <f t="shared" si="6"/>
        <v>4266569</v>
      </c>
    </row>
    <row r="201" spans="1:65" s="4" customFormat="1">
      <c r="A201" s="4">
        <v>17</v>
      </c>
      <c r="B201" s="4" t="s">
        <v>308</v>
      </c>
      <c r="D201" s="4" t="s">
        <v>58</v>
      </c>
      <c r="F201" s="6">
        <v>201932.15</v>
      </c>
      <c r="G201" s="6"/>
      <c r="H201" s="6">
        <v>442824.11</v>
      </c>
      <c r="I201" s="6"/>
      <c r="J201" s="6">
        <v>18685.57</v>
      </c>
      <c r="K201" s="6"/>
      <c r="L201" s="6">
        <v>12138.44</v>
      </c>
      <c r="M201" s="6"/>
      <c r="N201" s="6">
        <v>0</v>
      </c>
      <c r="O201" s="6"/>
      <c r="P201" s="6">
        <v>0</v>
      </c>
      <c r="Q201" s="6"/>
      <c r="R201" s="6">
        <v>1391.99</v>
      </c>
      <c r="S201" s="6"/>
      <c r="T201" s="6">
        <v>4073.91</v>
      </c>
      <c r="U201" s="6"/>
      <c r="V201" s="6">
        <v>4772.57</v>
      </c>
      <c r="W201" s="6"/>
      <c r="X201" s="6">
        <v>0</v>
      </c>
      <c r="Y201" s="6"/>
      <c r="Z201" s="6">
        <v>0</v>
      </c>
      <c r="AA201" s="6"/>
      <c r="AB201" s="6">
        <v>0</v>
      </c>
      <c r="AC201" s="6"/>
      <c r="AD201" s="6">
        <v>0</v>
      </c>
      <c r="AE201" s="6"/>
      <c r="AF201" s="6">
        <v>0</v>
      </c>
      <c r="AG201" s="6"/>
      <c r="AH201" s="6">
        <f>SUM(F201:AF201)</f>
        <v>685818.73999999987</v>
      </c>
    </row>
    <row r="202" spans="1:65" s="4" customFormat="1" hidden="1">
      <c r="A202" s="4">
        <v>109</v>
      </c>
      <c r="B202" s="35" t="s">
        <v>454</v>
      </c>
      <c r="C202" s="35"/>
      <c r="D202" s="35" t="s">
        <v>208</v>
      </c>
      <c r="E202" s="35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35"/>
      <c r="AH202" s="4">
        <f t="shared" si="6"/>
        <v>0</v>
      </c>
    </row>
    <row r="203" spans="1:65" s="4" customFormat="1" ht="12" hidden="1" customHeight="1">
      <c r="A203" s="4">
        <v>207</v>
      </c>
      <c r="B203" s="4" t="s">
        <v>434</v>
      </c>
      <c r="D203" s="4" t="s">
        <v>54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H203" s="4">
        <f t="shared" si="6"/>
        <v>0</v>
      </c>
    </row>
    <row r="204" spans="1:65" s="4" customFormat="1">
      <c r="A204" s="4">
        <v>243</v>
      </c>
      <c r="B204" s="35" t="s">
        <v>455</v>
      </c>
      <c r="C204" s="35"/>
      <c r="D204" s="35" t="s">
        <v>112</v>
      </c>
      <c r="E204" s="35"/>
      <c r="F204" s="6">
        <v>0</v>
      </c>
      <c r="G204" s="6"/>
      <c r="H204" s="6">
        <v>468331.17</v>
      </c>
      <c r="I204" s="6"/>
      <c r="J204" s="6">
        <v>0</v>
      </c>
      <c r="K204" s="6"/>
      <c r="L204" s="6">
        <v>9779.4599999999991</v>
      </c>
      <c r="M204" s="6"/>
      <c r="N204" s="6">
        <v>0</v>
      </c>
      <c r="O204" s="6"/>
      <c r="P204" s="6">
        <v>0</v>
      </c>
      <c r="Q204" s="6"/>
      <c r="R204" s="6">
        <v>3625</v>
      </c>
      <c r="S204" s="6"/>
      <c r="T204" s="6">
        <v>202.17</v>
      </c>
      <c r="U204" s="6"/>
      <c r="V204" s="6">
        <v>7982.21</v>
      </c>
      <c r="W204" s="6"/>
      <c r="X204" s="6">
        <v>0</v>
      </c>
      <c r="Y204" s="6"/>
      <c r="Z204" s="6">
        <v>0</v>
      </c>
      <c r="AA204" s="6"/>
      <c r="AB204" s="6">
        <v>0</v>
      </c>
      <c r="AC204" s="6"/>
      <c r="AD204" s="6">
        <v>0</v>
      </c>
      <c r="AE204" s="6"/>
      <c r="AF204" s="6">
        <v>0</v>
      </c>
      <c r="AG204" s="6"/>
      <c r="AH204" s="6">
        <f>SUM(F204:AF204)</f>
        <v>489920.01</v>
      </c>
    </row>
    <row r="205" spans="1:65" s="4" customFormat="1">
      <c r="A205" s="4">
        <v>6</v>
      </c>
      <c r="B205" s="4" t="s">
        <v>337</v>
      </c>
      <c r="D205" s="4" t="s">
        <v>87</v>
      </c>
      <c r="F205" s="66">
        <v>210647</v>
      </c>
      <c r="G205" s="66"/>
      <c r="H205" s="66">
        <v>0</v>
      </c>
      <c r="I205" s="66"/>
      <c r="J205" s="66">
        <v>0</v>
      </c>
      <c r="K205" s="66"/>
      <c r="L205" s="66">
        <v>7118</v>
      </c>
      <c r="M205" s="66"/>
      <c r="N205" s="66">
        <v>0</v>
      </c>
      <c r="O205" s="66"/>
      <c r="P205" s="66">
        <v>0</v>
      </c>
      <c r="Q205" s="66"/>
      <c r="R205" s="66">
        <v>732</v>
      </c>
      <c r="S205" s="66"/>
      <c r="T205" s="66">
        <v>4985</v>
      </c>
      <c r="U205" s="66"/>
      <c r="V205" s="66">
        <v>1597</v>
      </c>
      <c r="W205" s="66"/>
      <c r="X205" s="66">
        <v>0</v>
      </c>
      <c r="Y205" s="66"/>
      <c r="Z205" s="66">
        <v>262571</v>
      </c>
      <c r="AA205" s="66"/>
      <c r="AB205" s="66">
        <v>0</v>
      </c>
      <c r="AC205" s="66"/>
      <c r="AD205" s="66">
        <v>0</v>
      </c>
      <c r="AE205" s="66"/>
      <c r="AF205" s="66">
        <v>56</v>
      </c>
      <c r="AH205" s="4">
        <f t="shared" si="6"/>
        <v>487706</v>
      </c>
    </row>
    <row r="206" spans="1:65" s="4" customFormat="1">
      <c r="A206" s="4">
        <v>68</v>
      </c>
      <c r="B206" s="35" t="s">
        <v>209</v>
      </c>
      <c r="C206" s="35"/>
      <c r="D206" s="35" t="s">
        <v>79</v>
      </c>
      <c r="E206" s="35"/>
      <c r="F206" s="6">
        <v>0</v>
      </c>
      <c r="G206" s="6"/>
      <c r="H206" s="6">
        <v>282429.11</v>
      </c>
      <c r="I206" s="6"/>
      <c r="J206" s="6">
        <v>0</v>
      </c>
      <c r="K206" s="6"/>
      <c r="L206" s="6">
        <v>5652.49</v>
      </c>
      <c r="M206" s="6"/>
      <c r="N206" s="6">
        <v>0</v>
      </c>
      <c r="O206" s="6"/>
      <c r="P206" s="6">
        <v>0</v>
      </c>
      <c r="Q206" s="6"/>
      <c r="R206" s="6">
        <v>895</v>
      </c>
      <c r="S206" s="6"/>
      <c r="T206" s="6">
        <v>209.35</v>
      </c>
      <c r="U206" s="6"/>
      <c r="V206" s="6">
        <v>2588.36</v>
      </c>
      <c r="W206" s="6"/>
      <c r="X206" s="6">
        <v>0</v>
      </c>
      <c r="Y206" s="6"/>
      <c r="Z206" s="6">
        <v>0</v>
      </c>
      <c r="AA206" s="6"/>
      <c r="AB206" s="6">
        <v>0</v>
      </c>
      <c r="AC206" s="6"/>
      <c r="AD206" s="6">
        <v>0</v>
      </c>
      <c r="AE206" s="6"/>
      <c r="AF206" s="6">
        <v>0</v>
      </c>
      <c r="AG206" s="6"/>
      <c r="AH206" s="6">
        <f>SUM(F206:AF206)</f>
        <v>291774.30999999994</v>
      </c>
    </row>
    <row r="207" spans="1:65" s="4" customFormat="1">
      <c r="A207" s="4">
        <v>196</v>
      </c>
      <c r="B207" s="35" t="s">
        <v>456</v>
      </c>
      <c r="C207" s="35"/>
      <c r="D207" s="35" t="s">
        <v>64</v>
      </c>
      <c r="E207" s="35"/>
      <c r="F207" s="6">
        <v>0</v>
      </c>
      <c r="G207" s="6"/>
      <c r="H207" s="6">
        <v>97951.86</v>
      </c>
      <c r="I207" s="6"/>
      <c r="J207" s="6">
        <v>0</v>
      </c>
      <c r="K207" s="6"/>
      <c r="L207" s="6">
        <v>1188.21</v>
      </c>
      <c r="M207" s="6"/>
      <c r="N207" s="6">
        <v>0</v>
      </c>
      <c r="O207" s="6"/>
      <c r="P207" s="6">
        <v>0</v>
      </c>
      <c r="Q207" s="6"/>
      <c r="R207" s="6">
        <v>304.26</v>
      </c>
      <c r="S207" s="6"/>
      <c r="T207" s="6">
        <v>0</v>
      </c>
      <c r="U207" s="6"/>
      <c r="V207" s="6">
        <v>5234.2</v>
      </c>
      <c r="W207" s="6"/>
      <c r="X207" s="6">
        <v>122.8</v>
      </c>
      <c r="Y207" s="6"/>
      <c r="Z207" s="6">
        <v>0</v>
      </c>
      <c r="AA207" s="6"/>
      <c r="AB207" s="6">
        <v>0</v>
      </c>
      <c r="AC207" s="6"/>
      <c r="AD207" s="6">
        <v>0</v>
      </c>
      <c r="AE207" s="6"/>
      <c r="AF207" s="6">
        <v>0</v>
      </c>
      <c r="AG207" s="6"/>
      <c r="AH207" s="6">
        <f>SUM(F207:AF207)</f>
        <v>104801.33</v>
      </c>
    </row>
    <row r="208" spans="1:65" s="4" customFormat="1">
      <c r="A208" s="4">
        <v>45</v>
      </c>
      <c r="B208" s="4" t="s">
        <v>210</v>
      </c>
      <c r="D208" s="4" t="s">
        <v>24</v>
      </c>
      <c r="F208" s="6">
        <v>40042.559999999998</v>
      </c>
      <c r="G208" s="6"/>
      <c r="H208" s="6">
        <v>241186.38</v>
      </c>
      <c r="I208" s="6"/>
      <c r="J208" s="6">
        <v>12976.85</v>
      </c>
      <c r="K208" s="6"/>
      <c r="L208" s="6">
        <v>8348.6200000000008</v>
      </c>
      <c r="M208" s="6"/>
      <c r="N208" s="6">
        <v>0</v>
      </c>
      <c r="O208" s="6"/>
      <c r="P208" s="6">
        <v>0</v>
      </c>
      <c r="Q208" s="6"/>
      <c r="R208" s="6">
        <v>5763.29</v>
      </c>
      <c r="S208" s="6"/>
      <c r="T208" s="6">
        <v>0</v>
      </c>
      <c r="U208" s="6"/>
      <c r="V208" s="6">
        <v>411.1</v>
      </c>
      <c r="W208" s="6"/>
      <c r="X208" s="6">
        <v>1891</v>
      </c>
      <c r="Y208" s="6"/>
      <c r="Z208" s="6">
        <v>0</v>
      </c>
      <c r="AA208" s="6"/>
      <c r="AB208" s="6">
        <v>0</v>
      </c>
      <c r="AC208" s="6"/>
      <c r="AD208" s="6">
        <v>0</v>
      </c>
      <c r="AE208" s="6"/>
      <c r="AF208" s="6">
        <v>0</v>
      </c>
      <c r="AG208" s="6"/>
      <c r="AH208" s="6">
        <f>SUM(F208:AF208)</f>
        <v>310619.79999999993</v>
      </c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</row>
    <row r="209" spans="1:65" s="4" customFormat="1">
      <c r="A209" s="4">
        <v>88</v>
      </c>
      <c r="B209" s="4" t="s">
        <v>211</v>
      </c>
      <c r="D209" s="4" t="s">
        <v>54</v>
      </c>
      <c r="F209" s="66">
        <v>106213</v>
      </c>
      <c r="G209" s="66"/>
      <c r="H209" s="66">
        <v>510479</v>
      </c>
      <c r="I209" s="66"/>
      <c r="J209" s="66">
        <v>15329</v>
      </c>
      <c r="K209" s="66"/>
      <c r="L209" s="66">
        <v>9011</v>
      </c>
      <c r="M209" s="66"/>
      <c r="N209" s="66">
        <v>0</v>
      </c>
      <c r="O209" s="66"/>
      <c r="P209" s="66">
        <v>0</v>
      </c>
      <c r="Q209" s="66"/>
      <c r="R209" s="66">
        <v>3516</v>
      </c>
      <c r="S209" s="66"/>
      <c r="T209" s="66">
        <v>1479</v>
      </c>
      <c r="U209" s="66"/>
      <c r="V209" s="66">
        <v>115</v>
      </c>
      <c r="W209" s="66"/>
      <c r="X209" s="66">
        <v>0</v>
      </c>
      <c r="Y209" s="66"/>
      <c r="Z209" s="66">
        <v>0</v>
      </c>
      <c r="AA209" s="66"/>
      <c r="AB209" s="66">
        <v>0</v>
      </c>
      <c r="AC209" s="66"/>
      <c r="AD209" s="66">
        <v>0</v>
      </c>
      <c r="AE209" s="66"/>
      <c r="AF209" s="66">
        <v>0</v>
      </c>
      <c r="AH209" s="4">
        <f t="shared" si="6"/>
        <v>646142</v>
      </c>
    </row>
    <row r="210" spans="1:65" s="4" customFormat="1">
      <c r="A210" s="39">
        <v>197.1</v>
      </c>
      <c r="B210" s="4" t="s">
        <v>214</v>
      </c>
      <c r="D210" s="4" t="s">
        <v>40</v>
      </c>
      <c r="F210" s="6">
        <v>27652.63</v>
      </c>
      <c r="G210" s="6"/>
      <c r="H210" s="6">
        <v>124370.94</v>
      </c>
      <c r="I210" s="6"/>
      <c r="J210" s="6">
        <v>1736.8</v>
      </c>
      <c r="K210" s="6"/>
      <c r="L210" s="6">
        <v>3472.94</v>
      </c>
      <c r="M210" s="6"/>
      <c r="N210" s="6">
        <v>0</v>
      </c>
      <c r="O210" s="6"/>
      <c r="P210" s="6">
        <v>0</v>
      </c>
      <c r="Q210" s="6"/>
      <c r="R210" s="6">
        <v>1786.1</v>
      </c>
      <c r="S210" s="6"/>
      <c r="T210" s="6">
        <v>122.44</v>
      </c>
      <c r="U210" s="6"/>
      <c r="V210" s="6">
        <v>45.1</v>
      </c>
      <c r="W210" s="6"/>
      <c r="X210" s="6">
        <v>312.32</v>
      </c>
      <c r="Y210" s="6"/>
      <c r="Z210" s="6">
        <v>0</v>
      </c>
      <c r="AA210" s="6"/>
      <c r="AB210" s="6">
        <v>0</v>
      </c>
      <c r="AC210" s="6"/>
      <c r="AD210" s="6">
        <v>0</v>
      </c>
      <c r="AE210" s="6"/>
      <c r="AF210" s="6">
        <v>0</v>
      </c>
      <c r="AG210" s="6"/>
      <c r="AH210" s="6">
        <f>SUM(F210:AF210)</f>
        <v>159499.27000000002</v>
      </c>
    </row>
    <row r="211" spans="1:65" s="4" customFormat="1">
      <c r="A211" s="4">
        <v>92</v>
      </c>
      <c r="B211" s="35" t="s">
        <v>215</v>
      </c>
      <c r="C211" s="35"/>
      <c r="D211" s="35" t="s">
        <v>63</v>
      </c>
      <c r="E211" s="35"/>
      <c r="F211" s="6">
        <v>124758.03</v>
      </c>
      <c r="G211" s="6"/>
      <c r="H211" s="6">
        <v>309552.49</v>
      </c>
      <c r="I211" s="6"/>
      <c r="J211" s="6">
        <v>15220.09</v>
      </c>
      <c r="K211" s="6"/>
      <c r="L211" s="6">
        <v>8574.81</v>
      </c>
      <c r="M211" s="6"/>
      <c r="N211" s="6">
        <v>0</v>
      </c>
      <c r="O211" s="6"/>
      <c r="P211" s="6">
        <v>0</v>
      </c>
      <c r="Q211" s="6"/>
      <c r="R211" s="6">
        <v>6186.27</v>
      </c>
      <c r="S211" s="6"/>
      <c r="T211" s="6">
        <v>887.61</v>
      </c>
      <c r="U211" s="6"/>
      <c r="V211" s="6">
        <v>2874.1</v>
      </c>
      <c r="W211" s="6"/>
      <c r="X211" s="6">
        <v>0</v>
      </c>
      <c r="Y211" s="6"/>
      <c r="Z211" s="6">
        <v>0</v>
      </c>
      <c r="AA211" s="6"/>
      <c r="AB211" s="6">
        <v>0</v>
      </c>
      <c r="AC211" s="6"/>
      <c r="AD211" s="6">
        <v>0</v>
      </c>
      <c r="AE211" s="6"/>
      <c r="AF211" s="6">
        <v>0</v>
      </c>
      <c r="AG211" s="6"/>
      <c r="AH211" s="6">
        <f>SUM(F211:AF211)</f>
        <v>468053.4</v>
      </c>
    </row>
    <row r="212" spans="1:65" s="4" customFormat="1">
      <c r="A212" s="4">
        <v>139</v>
      </c>
      <c r="B212" s="4" t="s">
        <v>216</v>
      </c>
      <c r="D212" s="4" t="s">
        <v>23</v>
      </c>
      <c r="F212" s="66">
        <v>737338</v>
      </c>
      <c r="G212" s="66"/>
      <c r="H212" s="66">
        <v>1226421</v>
      </c>
      <c r="I212" s="66"/>
      <c r="J212" s="66">
        <v>124108</v>
      </c>
      <c r="K212" s="66"/>
      <c r="L212" s="66">
        <v>82738</v>
      </c>
      <c r="M212" s="66"/>
      <c r="N212" s="66">
        <v>0</v>
      </c>
      <c r="O212" s="66"/>
      <c r="P212" s="66">
        <v>0</v>
      </c>
      <c r="Q212" s="66"/>
      <c r="R212" s="66">
        <v>208</v>
      </c>
      <c r="S212" s="66"/>
      <c r="T212" s="66">
        <v>659</v>
      </c>
      <c r="U212" s="66"/>
      <c r="V212" s="66">
        <v>606</v>
      </c>
      <c r="W212" s="66"/>
      <c r="X212" s="66">
        <v>0</v>
      </c>
      <c r="Y212" s="66"/>
      <c r="Z212" s="66">
        <v>0</v>
      </c>
      <c r="AA212" s="66"/>
      <c r="AB212" s="66">
        <v>0</v>
      </c>
      <c r="AC212" s="66"/>
      <c r="AD212" s="66">
        <v>0</v>
      </c>
      <c r="AE212" s="66"/>
      <c r="AF212" s="66">
        <v>0</v>
      </c>
      <c r="AH212" s="4">
        <f t="shared" si="6"/>
        <v>2172078</v>
      </c>
    </row>
    <row r="213" spans="1:65" s="4" customFormat="1">
      <c r="B213" s="4" t="s">
        <v>607</v>
      </c>
      <c r="D213" s="4" t="s">
        <v>54</v>
      </c>
      <c r="F213" s="66">
        <v>0</v>
      </c>
      <c r="G213" s="66"/>
      <c r="H213" s="66">
        <v>0</v>
      </c>
      <c r="I213" s="66"/>
      <c r="J213" s="66">
        <v>211460</v>
      </c>
      <c r="K213" s="66"/>
      <c r="L213" s="66">
        <v>332890</v>
      </c>
      <c r="M213" s="66"/>
      <c r="N213" s="66">
        <v>0</v>
      </c>
      <c r="O213" s="66"/>
      <c r="P213" s="66">
        <v>0</v>
      </c>
      <c r="Q213" s="66"/>
      <c r="R213" s="66">
        <v>0</v>
      </c>
      <c r="S213" s="66"/>
      <c r="T213" s="66">
        <v>12305</v>
      </c>
      <c r="U213" s="66"/>
      <c r="V213" s="66">
        <v>120365</v>
      </c>
      <c r="W213" s="66"/>
      <c r="X213" s="66">
        <v>0</v>
      </c>
      <c r="Y213" s="66"/>
      <c r="Z213" s="66">
        <v>0</v>
      </c>
      <c r="AA213" s="66"/>
      <c r="AB213" s="66">
        <v>0</v>
      </c>
      <c r="AC213" s="66"/>
      <c r="AD213" s="66">
        <v>0</v>
      </c>
      <c r="AE213" s="66"/>
      <c r="AF213" s="66">
        <v>0</v>
      </c>
      <c r="AH213" s="4">
        <f t="shared" si="6"/>
        <v>677020</v>
      </c>
    </row>
    <row r="214" spans="1:65" s="4" customFormat="1">
      <c r="A214" s="4">
        <v>132</v>
      </c>
      <c r="B214" s="4" t="s">
        <v>436</v>
      </c>
      <c r="D214" s="4" t="s">
        <v>63</v>
      </c>
      <c r="F214" s="66">
        <v>0</v>
      </c>
      <c r="G214" s="66"/>
      <c r="H214" s="66">
        <v>0</v>
      </c>
      <c r="I214" s="66"/>
      <c r="J214" s="66">
        <v>0</v>
      </c>
      <c r="K214" s="66"/>
      <c r="L214" s="66">
        <v>0</v>
      </c>
      <c r="M214" s="66"/>
      <c r="N214" s="66">
        <v>0</v>
      </c>
      <c r="O214" s="66"/>
      <c r="P214" s="66">
        <v>9301</v>
      </c>
      <c r="Q214" s="66"/>
      <c r="R214" s="66">
        <v>0</v>
      </c>
      <c r="S214" s="66"/>
      <c r="T214" s="66">
        <v>107</v>
      </c>
      <c r="U214" s="66"/>
      <c r="V214" s="66">
        <v>0</v>
      </c>
      <c r="W214" s="66"/>
      <c r="X214" s="66">
        <v>0</v>
      </c>
      <c r="Y214" s="66"/>
      <c r="Z214" s="66">
        <v>38185</v>
      </c>
      <c r="AA214" s="66"/>
      <c r="AB214" s="66">
        <v>0</v>
      </c>
      <c r="AC214" s="66"/>
      <c r="AD214" s="66">
        <v>0</v>
      </c>
      <c r="AE214" s="66"/>
      <c r="AF214" s="66">
        <v>0</v>
      </c>
      <c r="AH214" s="4">
        <f t="shared" si="6"/>
        <v>47593</v>
      </c>
    </row>
    <row r="215" spans="1:65" s="4" customFormat="1">
      <c r="A215" s="4">
        <v>9</v>
      </c>
      <c r="B215" s="4" t="s">
        <v>217</v>
      </c>
      <c r="D215" s="4" t="s">
        <v>87</v>
      </c>
      <c r="F215" s="74">
        <v>136943.04999999999</v>
      </c>
      <c r="G215" s="74"/>
      <c r="H215" s="74">
        <v>571582.11</v>
      </c>
      <c r="I215" s="74"/>
      <c r="J215" s="74">
        <v>33830.18</v>
      </c>
      <c r="K215" s="74"/>
      <c r="L215" s="74">
        <v>21948.52</v>
      </c>
      <c r="M215" s="74"/>
      <c r="N215" s="74">
        <v>0</v>
      </c>
      <c r="O215" s="74"/>
      <c r="P215" s="74">
        <v>0</v>
      </c>
      <c r="Q215" s="74"/>
      <c r="R215" s="74">
        <v>24784.28</v>
      </c>
      <c r="S215" s="74"/>
      <c r="T215" s="74">
        <v>4911.01</v>
      </c>
      <c r="U215" s="74"/>
      <c r="V215" s="74">
        <v>30580.41</v>
      </c>
      <c r="W215" s="74"/>
      <c r="X215" s="74">
        <v>0</v>
      </c>
      <c r="Y215" s="74"/>
      <c r="Z215" s="74">
        <v>0</v>
      </c>
      <c r="AA215" s="74"/>
      <c r="AB215" s="74">
        <v>0</v>
      </c>
      <c r="AC215" s="74"/>
      <c r="AD215" s="74">
        <v>0</v>
      </c>
      <c r="AE215" s="74"/>
      <c r="AF215" s="74">
        <v>0</v>
      </c>
      <c r="AG215" s="74"/>
      <c r="AH215" s="74">
        <f>SUM(F215:AF215)</f>
        <v>824579.56</v>
      </c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</row>
    <row r="216" spans="1:65" s="4" customFormat="1">
      <c r="A216" s="4">
        <v>107</v>
      </c>
      <c r="B216" s="4" t="s">
        <v>218</v>
      </c>
      <c r="D216" s="4" t="s">
        <v>156</v>
      </c>
      <c r="F216" s="66">
        <v>249765</v>
      </c>
      <c r="G216" s="66"/>
      <c r="H216" s="66">
        <v>0</v>
      </c>
      <c r="I216" s="66"/>
      <c r="J216" s="66">
        <v>750</v>
      </c>
      <c r="K216" s="66"/>
      <c r="L216" s="66">
        <v>10823</v>
      </c>
      <c r="M216" s="66"/>
      <c r="N216" s="66">
        <v>0</v>
      </c>
      <c r="O216" s="66"/>
      <c r="P216" s="66">
        <v>0</v>
      </c>
      <c r="Q216" s="66"/>
      <c r="R216" s="66">
        <v>1721</v>
      </c>
      <c r="S216" s="66"/>
      <c r="T216" s="66">
        <v>741</v>
      </c>
      <c r="U216" s="66"/>
      <c r="V216" s="66">
        <v>5457</v>
      </c>
      <c r="W216" s="66"/>
      <c r="X216" s="66">
        <v>0</v>
      </c>
      <c r="Y216" s="66"/>
      <c r="Z216" s="66">
        <v>0</v>
      </c>
      <c r="AA216" s="66"/>
      <c r="AB216" s="66">
        <v>0</v>
      </c>
      <c r="AC216" s="66"/>
      <c r="AD216" s="66">
        <v>0</v>
      </c>
      <c r="AE216" s="66"/>
      <c r="AF216" s="66">
        <v>0</v>
      </c>
      <c r="AH216" s="4">
        <f t="shared" si="6"/>
        <v>269257</v>
      </c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</row>
    <row r="217" spans="1:65" s="4" customFormat="1" hidden="1">
      <c r="A217" s="4">
        <v>240</v>
      </c>
      <c r="B217" s="4" t="s">
        <v>219</v>
      </c>
      <c r="D217" s="4" t="s">
        <v>168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H217" s="4">
        <f t="shared" si="6"/>
        <v>0</v>
      </c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</row>
    <row r="218" spans="1:65" s="4" customFormat="1">
      <c r="A218" s="4">
        <v>237</v>
      </c>
      <c r="B218" s="4" t="s">
        <v>220</v>
      </c>
      <c r="D218" s="4" t="s">
        <v>55</v>
      </c>
      <c r="F218" s="74">
        <v>790347.65</v>
      </c>
      <c r="G218" s="74"/>
      <c r="H218" s="74">
        <v>315216.88</v>
      </c>
      <c r="I218" s="74"/>
      <c r="J218" s="74">
        <v>99756.479999999996</v>
      </c>
      <c r="K218" s="74"/>
      <c r="L218" s="74">
        <v>29982.41</v>
      </c>
      <c r="M218" s="74"/>
      <c r="N218" s="74">
        <v>0</v>
      </c>
      <c r="O218" s="74"/>
      <c r="P218" s="74">
        <v>0</v>
      </c>
      <c r="Q218" s="74"/>
      <c r="R218" s="74">
        <v>13223.78</v>
      </c>
      <c r="S218" s="74"/>
      <c r="T218" s="74">
        <v>104.76</v>
      </c>
      <c r="U218" s="74"/>
      <c r="V218" s="74">
        <v>4596.7700000000004</v>
      </c>
      <c r="W218" s="74"/>
      <c r="X218" s="74">
        <v>0</v>
      </c>
      <c r="Y218" s="74"/>
      <c r="Z218" s="74">
        <v>0</v>
      </c>
      <c r="AA218" s="74"/>
      <c r="AB218" s="74">
        <v>0</v>
      </c>
      <c r="AC218" s="74"/>
      <c r="AD218" s="74">
        <v>0</v>
      </c>
      <c r="AE218" s="74"/>
      <c r="AF218" s="74">
        <v>0</v>
      </c>
      <c r="AG218" s="74"/>
      <c r="AH218" s="74">
        <f>SUM(F218:AF218)</f>
        <v>1253228.73</v>
      </c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</row>
    <row r="219" spans="1:65" s="7" customFormat="1">
      <c r="A219" s="4">
        <v>167</v>
      </c>
      <c r="B219" s="4" t="s">
        <v>222</v>
      </c>
      <c r="C219" s="4"/>
      <c r="D219" s="4" t="s">
        <v>223</v>
      </c>
      <c r="E219" s="4"/>
      <c r="F219" s="66">
        <v>322868</v>
      </c>
      <c r="G219" s="66"/>
      <c r="H219" s="66">
        <v>538615</v>
      </c>
      <c r="I219" s="66"/>
      <c r="J219" s="66">
        <v>41019</v>
      </c>
      <c r="K219" s="66"/>
      <c r="L219" s="66">
        <v>36702</v>
      </c>
      <c r="M219" s="66"/>
      <c r="N219" s="66">
        <v>0</v>
      </c>
      <c r="O219" s="66"/>
      <c r="P219" s="66">
        <v>0</v>
      </c>
      <c r="Q219" s="66"/>
      <c r="R219" s="66">
        <v>21836</v>
      </c>
      <c r="S219" s="66"/>
      <c r="T219" s="66">
        <v>4670</v>
      </c>
      <c r="U219" s="66"/>
      <c r="V219" s="66">
        <v>180</v>
      </c>
      <c r="W219" s="66"/>
      <c r="X219" s="66">
        <v>0</v>
      </c>
      <c r="Y219" s="66"/>
      <c r="Z219" s="66">
        <v>0</v>
      </c>
      <c r="AA219" s="66"/>
      <c r="AB219" s="66">
        <v>0</v>
      </c>
      <c r="AC219" s="66"/>
      <c r="AD219" s="66">
        <v>0</v>
      </c>
      <c r="AE219" s="66"/>
      <c r="AF219" s="66">
        <v>0</v>
      </c>
      <c r="AG219" s="4"/>
      <c r="AH219" s="4">
        <f t="shared" si="6"/>
        <v>965890</v>
      </c>
    </row>
    <row r="220" spans="1:65" s="4" customFormat="1">
      <c r="A220" s="4">
        <v>217</v>
      </c>
      <c r="B220" s="35" t="s">
        <v>224</v>
      </c>
      <c r="C220" s="35"/>
      <c r="D220" s="35" t="s">
        <v>39</v>
      </c>
      <c r="E220" s="35"/>
      <c r="F220" s="6">
        <v>245914.55</v>
      </c>
      <c r="G220" s="6"/>
      <c r="H220" s="6">
        <v>499660.42</v>
      </c>
      <c r="I220" s="6"/>
      <c r="J220" s="6">
        <v>34771.39</v>
      </c>
      <c r="K220" s="6"/>
      <c r="L220" s="6">
        <v>21881.78</v>
      </c>
      <c r="M220" s="6"/>
      <c r="N220" s="6">
        <v>0</v>
      </c>
      <c r="O220" s="6"/>
      <c r="P220" s="6">
        <v>0</v>
      </c>
      <c r="Q220" s="6"/>
      <c r="R220" s="6">
        <v>5640.98</v>
      </c>
      <c r="S220" s="6"/>
      <c r="T220" s="6">
        <v>2822.92</v>
      </c>
      <c r="U220" s="6"/>
      <c r="V220" s="6">
        <v>4176.1400000000003</v>
      </c>
      <c r="W220" s="6"/>
      <c r="X220" s="6">
        <v>0</v>
      </c>
      <c r="Y220" s="6"/>
      <c r="Z220" s="6">
        <v>0</v>
      </c>
      <c r="AA220" s="6"/>
      <c r="AB220" s="6">
        <v>0</v>
      </c>
      <c r="AC220" s="6"/>
      <c r="AD220" s="6">
        <v>0</v>
      </c>
      <c r="AE220" s="6"/>
      <c r="AF220" s="6">
        <v>0</v>
      </c>
      <c r="AG220" s="6"/>
      <c r="AH220" s="6">
        <f t="shared" ref="AH220:AH225" si="7">SUM(F220:AF220)</f>
        <v>814868.18</v>
      </c>
    </row>
    <row r="221" spans="1:65" s="4" customFormat="1">
      <c r="A221" s="4">
        <v>193</v>
      </c>
      <c r="B221" s="35" t="s">
        <v>458</v>
      </c>
      <c r="C221" s="35"/>
      <c r="D221" s="35" t="s">
        <v>58</v>
      </c>
      <c r="E221" s="35"/>
      <c r="F221" s="74">
        <v>26547.51</v>
      </c>
      <c r="G221" s="74"/>
      <c r="H221" s="74">
        <v>186161.43</v>
      </c>
      <c r="I221" s="74"/>
      <c r="J221" s="74">
        <v>0</v>
      </c>
      <c r="K221" s="74"/>
      <c r="L221" s="74">
        <v>3052.24</v>
      </c>
      <c r="M221" s="74"/>
      <c r="N221" s="74">
        <v>0</v>
      </c>
      <c r="O221" s="74"/>
      <c r="P221" s="74">
        <v>0</v>
      </c>
      <c r="Q221" s="74"/>
      <c r="R221" s="74">
        <v>6121.94</v>
      </c>
      <c r="S221" s="74"/>
      <c r="T221" s="74">
        <v>3038.28</v>
      </c>
      <c r="U221" s="74"/>
      <c r="V221" s="74">
        <v>2343.94</v>
      </c>
      <c r="W221" s="74"/>
      <c r="X221" s="74">
        <v>5</v>
      </c>
      <c r="Y221" s="74"/>
      <c r="Z221" s="74">
        <v>0</v>
      </c>
      <c r="AA221" s="74"/>
      <c r="AB221" s="74">
        <v>0</v>
      </c>
      <c r="AC221" s="74"/>
      <c r="AD221" s="74">
        <v>0</v>
      </c>
      <c r="AE221" s="74"/>
      <c r="AF221" s="74">
        <v>0</v>
      </c>
      <c r="AG221" s="74"/>
      <c r="AH221" s="74">
        <f t="shared" si="7"/>
        <v>227270.34</v>
      </c>
    </row>
    <row r="222" spans="1:65" s="4" customFormat="1">
      <c r="A222" s="4">
        <v>191</v>
      </c>
      <c r="B222" s="4" t="s">
        <v>226</v>
      </c>
      <c r="D222" s="4" t="s">
        <v>227</v>
      </c>
      <c r="F222" s="6">
        <v>584897.18000000005</v>
      </c>
      <c r="G222" s="6"/>
      <c r="H222" s="6">
        <v>598249.07999999996</v>
      </c>
      <c r="I222" s="6"/>
      <c r="J222" s="6">
        <v>93515.62</v>
      </c>
      <c r="K222" s="6"/>
      <c r="L222" s="6">
        <v>25608.71</v>
      </c>
      <c r="M222" s="6"/>
      <c r="N222" s="6">
        <v>0</v>
      </c>
      <c r="O222" s="6"/>
      <c r="P222" s="6">
        <v>0</v>
      </c>
      <c r="Q222" s="6"/>
      <c r="R222" s="6">
        <v>2231.8200000000002</v>
      </c>
      <c r="S222" s="6"/>
      <c r="T222" s="6">
        <v>14759.53</v>
      </c>
      <c r="U222" s="6"/>
      <c r="V222" s="6">
        <v>8446.49</v>
      </c>
      <c r="W222" s="6"/>
      <c r="X222" s="6">
        <v>0</v>
      </c>
      <c r="Y222" s="6"/>
      <c r="Z222" s="6">
        <v>0</v>
      </c>
      <c r="AA222" s="6"/>
      <c r="AB222" s="6">
        <v>0</v>
      </c>
      <c r="AC222" s="6"/>
      <c r="AD222" s="6">
        <v>0</v>
      </c>
      <c r="AE222" s="6"/>
      <c r="AF222" s="6">
        <v>0</v>
      </c>
      <c r="AG222" s="6"/>
      <c r="AH222" s="6">
        <f t="shared" si="7"/>
        <v>1327708.43</v>
      </c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</row>
    <row r="223" spans="1:65" s="4" customFormat="1">
      <c r="A223" s="4">
        <v>255</v>
      </c>
      <c r="B223" s="4" t="s">
        <v>229</v>
      </c>
      <c r="D223" s="4" t="s">
        <v>63</v>
      </c>
      <c r="F223" s="6">
        <v>0</v>
      </c>
      <c r="G223" s="6"/>
      <c r="H223" s="6">
        <v>305885.17</v>
      </c>
      <c r="I223" s="6"/>
      <c r="J223" s="6">
        <v>0</v>
      </c>
      <c r="K223" s="6"/>
      <c r="L223" s="6">
        <v>9001.7000000000007</v>
      </c>
      <c r="M223" s="6"/>
      <c r="N223" s="6">
        <v>0</v>
      </c>
      <c r="O223" s="6"/>
      <c r="P223" s="6">
        <v>0</v>
      </c>
      <c r="Q223" s="6"/>
      <c r="R223" s="6">
        <v>6558.34</v>
      </c>
      <c r="S223" s="6"/>
      <c r="T223" s="6">
        <v>14637.85</v>
      </c>
      <c r="U223" s="6"/>
      <c r="V223" s="6">
        <v>3382.75</v>
      </c>
      <c r="W223" s="6"/>
      <c r="X223" s="6">
        <v>0</v>
      </c>
      <c r="Y223" s="6"/>
      <c r="Z223" s="6">
        <v>0</v>
      </c>
      <c r="AA223" s="6"/>
      <c r="AB223" s="6">
        <v>0</v>
      </c>
      <c r="AC223" s="6"/>
      <c r="AD223" s="6">
        <v>0</v>
      </c>
      <c r="AE223" s="6"/>
      <c r="AF223" s="6">
        <v>0</v>
      </c>
      <c r="AG223" s="6"/>
      <c r="AH223" s="6">
        <f t="shared" si="7"/>
        <v>339465.81</v>
      </c>
    </row>
    <row r="224" spans="1:65" s="4" customFormat="1">
      <c r="A224" s="4">
        <v>214</v>
      </c>
      <c r="B224" s="4" t="s">
        <v>230</v>
      </c>
      <c r="D224" s="4" t="s">
        <v>20</v>
      </c>
      <c r="F224" s="6">
        <v>76129.289999999994</v>
      </c>
      <c r="G224" s="6"/>
      <c r="H224" s="6">
        <v>308115.48</v>
      </c>
      <c r="I224" s="6"/>
      <c r="J224" s="6">
        <v>10694.75</v>
      </c>
      <c r="K224" s="6"/>
      <c r="L224" s="6">
        <v>4424.68</v>
      </c>
      <c r="M224" s="6"/>
      <c r="N224" s="6">
        <v>0</v>
      </c>
      <c r="O224" s="6"/>
      <c r="P224" s="6">
        <v>0</v>
      </c>
      <c r="Q224" s="6"/>
      <c r="R224" s="6">
        <v>0</v>
      </c>
      <c r="S224" s="6"/>
      <c r="T224" s="6">
        <v>54.85</v>
      </c>
      <c r="U224" s="6"/>
      <c r="V224" s="6">
        <v>3695.3</v>
      </c>
      <c r="W224" s="6"/>
      <c r="X224" s="6">
        <v>0</v>
      </c>
      <c r="Y224" s="6"/>
      <c r="Z224" s="6">
        <v>0</v>
      </c>
      <c r="AA224" s="6"/>
      <c r="AB224" s="6">
        <v>0</v>
      </c>
      <c r="AC224" s="6"/>
      <c r="AD224" s="6">
        <v>0</v>
      </c>
      <c r="AE224" s="6"/>
      <c r="AF224" s="6">
        <v>0</v>
      </c>
      <c r="AG224" s="6"/>
      <c r="AH224" s="6">
        <f t="shared" si="7"/>
        <v>403114.34999999992</v>
      </c>
    </row>
    <row r="225" spans="1:65" s="4" customFormat="1">
      <c r="A225" s="4">
        <v>129</v>
      </c>
      <c r="B225" s="35" t="s">
        <v>594</v>
      </c>
      <c r="C225" s="35"/>
      <c r="D225" s="35" t="s">
        <v>64</v>
      </c>
      <c r="E225" s="35"/>
      <c r="F225" s="6">
        <v>624347.1</v>
      </c>
      <c r="G225" s="6"/>
      <c r="H225" s="6">
        <v>881566.4</v>
      </c>
      <c r="I225" s="6"/>
      <c r="J225" s="6">
        <v>94376.52</v>
      </c>
      <c r="K225" s="6"/>
      <c r="L225" s="6">
        <v>32954.660000000003</v>
      </c>
      <c r="M225" s="6"/>
      <c r="N225" s="6">
        <v>0</v>
      </c>
      <c r="O225" s="6"/>
      <c r="P225" s="6">
        <v>0</v>
      </c>
      <c r="Q225" s="6"/>
      <c r="R225" s="6">
        <v>3046.37</v>
      </c>
      <c r="S225" s="6"/>
      <c r="T225" s="6">
        <v>1283.69</v>
      </c>
      <c r="U225" s="6"/>
      <c r="V225" s="6">
        <v>44833</v>
      </c>
      <c r="W225" s="6"/>
      <c r="X225" s="6">
        <v>851.25</v>
      </c>
      <c r="Y225" s="6"/>
      <c r="Z225" s="6">
        <v>0</v>
      </c>
      <c r="AA225" s="6"/>
      <c r="AB225" s="6">
        <v>0</v>
      </c>
      <c r="AC225" s="6"/>
      <c r="AD225" s="6">
        <v>0</v>
      </c>
      <c r="AE225" s="6"/>
      <c r="AF225" s="6">
        <v>0</v>
      </c>
      <c r="AG225" s="6"/>
      <c r="AH225" s="6">
        <f t="shared" si="7"/>
        <v>1683258.99</v>
      </c>
    </row>
    <row r="226" spans="1:65" s="4" customFormat="1">
      <c r="A226" s="4">
        <v>200</v>
      </c>
      <c r="B226" s="4" t="s">
        <v>231</v>
      </c>
      <c r="D226" s="4" t="s">
        <v>66</v>
      </c>
      <c r="F226" s="66">
        <v>0</v>
      </c>
      <c r="G226" s="66"/>
      <c r="H226" s="66">
        <v>218872</v>
      </c>
      <c r="I226" s="66"/>
      <c r="J226" s="66">
        <v>0</v>
      </c>
      <c r="K226" s="66"/>
      <c r="L226" s="66">
        <v>3101</v>
      </c>
      <c r="M226" s="66"/>
      <c r="N226" s="66">
        <v>0</v>
      </c>
      <c r="O226" s="66"/>
      <c r="P226" s="66">
        <v>0</v>
      </c>
      <c r="Q226" s="66"/>
      <c r="R226" s="66">
        <v>110</v>
      </c>
      <c r="S226" s="66"/>
      <c r="T226" s="66">
        <v>53</v>
      </c>
      <c r="U226" s="66"/>
      <c r="V226" s="66">
        <v>438</v>
      </c>
      <c r="W226" s="66"/>
      <c r="X226" s="66">
        <v>0</v>
      </c>
      <c r="Y226" s="66"/>
      <c r="Z226" s="66">
        <v>0</v>
      </c>
      <c r="AA226" s="66"/>
      <c r="AB226" s="66">
        <v>0</v>
      </c>
      <c r="AC226" s="66"/>
      <c r="AD226" s="66">
        <v>0</v>
      </c>
      <c r="AE226" s="66"/>
      <c r="AF226" s="66">
        <v>0</v>
      </c>
      <c r="AH226" s="4">
        <f t="shared" si="6"/>
        <v>222574</v>
      </c>
    </row>
    <row r="227" spans="1:65" s="4" customFormat="1">
      <c r="A227" s="4">
        <v>172</v>
      </c>
      <c r="B227" s="4" t="s">
        <v>232</v>
      </c>
      <c r="D227" s="4" t="s">
        <v>13</v>
      </c>
      <c r="F227" s="6">
        <v>502680.72</v>
      </c>
      <c r="G227" s="6"/>
      <c r="H227" s="6">
        <v>325631.44</v>
      </c>
      <c r="I227" s="6"/>
      <c r="J227" s="6">
        <v>15156.08</v>
      </c>
      <c r="K227" s="6"/>
      <c r="L227" s="6">
        <v>20959.7</v>
      </c>
      <c r="M227" s="6"/>
      <c r="N227" s="6">
        <v>0</v>
      </c>
      <c r="O227" s="6"/>
      <c r="P227" s="6">
        <v>97.42</v>
      </c>
      <c r="Q227" s="6"/>
      <c r="R227" s="6">
        <v>395</v>
      </c>
      <c r="S227" s="6"/>
      <c r="T227" s="6">
        <v>494.48</v>
      </c>
      <c r="U227" s="6"/>
      <c r="V227" s="6">
        <v>20027.48</v>
      </c>
      <c r="W227" s="6"/>
      <c r="X227" s="6">
        <v>5</v>
      </c>
      <c r="Y227" s="6"/>
      <c r="Z227" s="6">
        <v>0</v>
      </c>
      <c r="AA227" s="6"/>
      <c r="AB227" s="6">
        <v>0</v>
      </c>
      <c r="AC227" s="6"/>
      <c r="AD227" s="6">
        <v>0</v>
      </c>
      <c r="AE227" s="6"/>
      <c r="AF227" s="6">
        <v>0</v>
      </c>
      <c r="AG227" s="6"/>
      <c r="AH227" s="6">
        <f>SUM(F227:AF227)</f>
        <v>885447.31999999983</v>
      </c>
    </row>
    <row r="228" spans="1:65" s="4" customFormat="1">
      <c r="A228" s="4">
        <v>213</v>
      </c>
      <c r="B228" s="4" t="s">
        <v>233</v>
      </c>
      <c r="D228" s="4" t="s">
        <v>234</v>
      </c>
      <c r="F228" s="66">
        <v>0</v>
      </c>
      <c r="G228" s="66"/>
      <c r="H228" s="66">
        <v>0</v>
      </c>
      <c r="I228" s="66"/>
      <c r="J228" s="66">
        <v>1499143</v>
      </c>
      <c r="K228" s="66"/>
      <c r="L228" s="66">
        <v>56880</v>
      </c>
      <c r="M228" s="66"/>
      <c r="N228" s="66">
        <v>0</v>
      </c>
      <c r="O228" s="66"/>
      <c r="P228" s="66">
        <v>0</v>
      </c>
      <c r="Q228" s="66"/>
      <c r="R228" s="66">
        <v>2000</v>
      </c>
      <c r="S228" s="66"/>
      <c r="T228" s="66">
        <v>51813</v>
      </c>
      <c r="U228" s="66"/>
      <c r="V228" s="66">
        <v>8447</v>
      </c>
      <c r="W228" s="66"/>
      <c r="X228" s="66">
        <v>0</v>
      </c>
      <c r="Y228" s="66"/>
      <c r="Z228" s="66">
        <v>0</v>
      </c>
      <c r="AA228" s="66"/>
      <c r="AB228" s="66">
        <v>0</v>
      </c>
      <c r="AC228" s="66"/>
      <c r="AD228" s="66">
        <v>0</v>
      </c>
      <c r="AE228" s="66"/>
      <c r="AF228" s="66">
        <v>0</v>
      </c>
      <c r="AH228" s="4">
        <f t="shared" si="6"/>
        <v>1618283</v>
      </c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</row>
    <row r="229" spans="1:65" s="4" customFormat="1">
      <c r="A229" s="4">
        <v>122</v>
      </c>
      <c r="B229" s="4" t="s">
        <v>310</v>
      </c>
      <c r="D229" s="4" t="s">
        <v>65</v>
      </c>
      <c r="F229" s="74">
        <v>750119.19</v>
      </c>
      <c r="G229" s="74"/>
      <c r="H229" s="74">
        <v>871553.54</v>
      </c>
      <c r="I229" s="74"/>
      <c r="J229" s="74">
        <v>94304.57</v>
      </c>
      <c r="K229" s="74"/>
      <c r="L229" s="74">
        <v>51734.87</v>
      </c>
      <c r="M229" s="74"/>
      <c r="N229" s="74">
        <v>0</v>
      </c>
      <c r="O229" s="74"/>
      <c r="P229" s="74">
        <v>0</v>
      </c>
      <c r="Q229" s="74"/>
      <c r="R229" s="74">
        <v>694.05</v>
      </c>
      <c r="S229" s="74"/>
      <c r="T229" s="74">
        <v>2839.26</v>
      </c>
      <c r="U229" s="74"/>
      <c r="V229" s="74">
        <v>11550.59</v>
      </c>
      <c r="W229" s="74"/>
      <c r="X229" s="74">
        <v>0</v>
      </c>
      <c r="Y229" s="74"/>
      <c r="Z229" s="74">
        <v>0</v>
      </c>
      <c r="AA229" s="74"/>
      <c r="AB229" s="74">
        <v>0</v>
      </c>
      <c r="AC229" s="74"/>
      <c r="AD229" s="74">
        <v>0</v>
      </c>
      <c r="AE229" s="74"/>
      <c r="AF229" s="74">
        <v>0</v>
      </c>
      <c r="AG229" s="74"/>
      <c r="AH229" s="74">
        <f>SUM(F229:AF229)</f>
        <v>1782796.0700000003</v>
      </c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</row>
    <row r="230" spans="1:65" s="4" customFormat="1">
      <c r="A230" s="4">
        <v>257</v>
      </c>
      <c r="B230" s="4" t="s">
        <v>574</v>
      </c>
      <c r="D230" s="4" t="s">
        <v>51</v>
      </c>
      <c r="F230" s="74">
        <v>0</v>
      </c>
      <c r="G230" s="74"/>
      <c r="H230" s="74">
        <v>639534.16</v>
      </c>
      <c r="I230" s="74"/>
      <c r="J230" s="74">
        <v>0</v>
      </c>
      <c r="K230" s="74"/>
      <c r="L230" s="74">
        <v>18673.509999999998</v>
      </c>
      <c r="M230" s="74"/>
      <c r="N230" s="74">
        <v>0</v>
      </c>
      <c r="O230" s="74"/>
      <c r="P230" s="74">
        <v>0</v>
      </c>
      <c r="Q230" s="74"/>
      <c r="R230" s="74">
        <v>358967</v>
      </c>
      <c r="S230" s="74"/>
      <c r="T230" s="74">
        <v>147.41</v>
      </c>
      <c r="U230" s="74"/>
      <c r="V230" s="74">
        <v>19394.03</v>
      </c>
      <c r="W230" s="74"/>
      <c r="X230" s="74">
        <v>0</v>
      </c>
      <c r="Y230" s="74"/>
      <c r="Z230" s="74">
        <v>0</v>
      </c>
      <c r="AA230" s="74"/>
      <c r="AB230" s="74">
        <v>0</v>
      </c>
      <c r="AC230" s="74"/>
      <c r="AD230" s="74">
        <v>0</v>
      </c>
      <c r="AE230" s="74"/>
      <c r="AF230" s="74">
        <v>13000</v>
      </c>
      <c r="AG230" s="74"/>
      <c r="AH230" s="74">
        <f>SUM(F230:AF230)</f>
        <v>1049716.1100000001</v>
      </c>
    </row>
    <row r="231" spans="1:65" s="4" customFormat="1">
      <c r="A231" s="4">
        <v>236</v>
      </c>
      <c r="B231" s="4" t="s">
        <v>235</v>
      </c>
      <c r="D231" s="4" t="s">
        <v>10</v>
      </c>
      <c r="F231" s="6">
        <v>176312.11</v>
      </c>
      <c r="G231" s="6"/>
      <c r="H231" s="6">
        <v>356368.72</v>
      </c>
      <c r="I231" s="6"/>
      <c r="J231" s="6">
        <v>22482.35</v>
      </c>
      <c r="K231" s="6"/>
      <c r="L231" s="6">
        <v>19313.59</v>
      </c>
      <c r="M231" s="6"/>
      <c r="N231" s="6">
        <v>0</v>
      </c>
      <c r="O231" s="6"/>
      <c r="P231" s="6">
        <v>0</v>
      </c>
      <c r="Q231" s="6"/>
      <c r="R231" s="6">
        <v>2344.5700000000002</v>
      </c>
      <c r="S231" s="6"/>
      <c r="T231" s="6">
        <v>1339.68</v>
      </c>
      <c r="U231" s="6"/>
      <c r="V231" s="6">
        <v>36701.85</v>
      </c>
      <c r="W231" s="6"/>
      <c r="X231" s="6">
        <v>0</v>
      </c>
      <c r="Y231" s="6"/>
      <c r="Z231" s="6">
        <v>0</v>
      </c>
      <c r="AA231" s="6"/>
      <c r="AB231" s="6">
        <v>0</v>
      </c>
      <c r="AC231" s="6"/>
      <c r="AD231" s="6">
        <v>0</v>
      </c>
      <c r="AE231" s="6"/>
      <c r="AF231" s="6">
        <v>0</v>
      </c>
      <c r="AG231" s="6"/>
      <c r="AH231" s="6">
        <f>SUM(F231:AF231)</f>
        <v>614862.86999999988</v>
      </c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</row>
    <row r="232" spans="1:65" s="4" customFormat="1">
      <c r="A232" s="4">
        <v>59</v>
      </c>
      <c r="B232" s="4" t="s">
        <v>595</v>
      </c>
      <c r="D232" s="4" t="s">
        <v>171</v>
      </c>
      <c r="F232" s="66">
        <v>0</v>
      </c>
      <c r="G232" s="66"/>
      <c r="H232" s="66">
        <v>2058931</v>
      </c>
      <c r="I232" s="66"/>
      <c r="J232" s="66">
        <v>8934</v>
      </c>
      <c r="K232" s="66"/>
      <c r="L232" s="66">
        <v>35481</v>
      </c>
      <c r="M232" s="66"/>
      <c r="N232" s="66">
        <v>0</v>
      </c>
      <c r="O232" s="66"/>
      <c r="P232" s="66">
        <v>24210</v>
      </c>
      <c r="Q232" s="66"/>
      <c r="R232" s="66">
        <v>33414</v>
      </c>
      <c r="S232" s="66"/>
      <c r="T232" s="66">
        <v>3943</v>
      </c>
      <c r="U232" s="66"/>
      <c r="V232" s="66">
        <v>33764</v>
      </c>
      <c r="W232" s="66"/>
      <c r="X232" s="66">
        <v>0</v>
      </c>
      <c r="Y232" s="66"/>
      <c r="Z232" s="66">
        <v>0</v>
      </c>
      <c r="AA232" s="66"/>
      <c r="AB232" s="66">
        <v>0</v>
      </c>
      <c r="AC232" s="66"/>
      <c r="AD232" s="66">
        <v>0</v>
      </c>
      <c r="AE232" s="66"/>
      <c r="AF232" s="66">
        <v>0</v>
      </c>
      <c r="AH232" s="4">
        <f t="shared" si="6"/>
        <v>2198677</v>
      </c>
    </row>
    <row r="233" spans="1:65" s="4" customFormat="1">
      <c r="B233" s="4" t="s">
        <v>608</v>
      </c>
      <c r="D233" s="4" t="s">
        <v>156</v>
      </c>
      <c r="F233" s="1">
        <v>1175627</v>
      </c>
      <c r="G233" s="66"/>
      <c r="H233" s="66">
        <v>0</v>
      </c>
      <c r="I233" s="66"/>
      <c r="J233" s="66">
        <v>0</v>
      </c>
      <c r="K233" s="66"/>
      <c r="L233" s="1">
        <v>19712</v>
      </c>
      <c r="M233" s="66"/>
      <c r="N233" s="66">
        <v>0</v>
      </c>
      <c r="O233" s="66"/>
      <c r="P233" s="66">
        <v>0</v>
      </c>
      <c r="Q233" s="66"/>
      <c r="R233" s="1">
        <v>37772</v>
      </c>
      <c r="S233" s="66"/>
      <c r="T233" s="1">
        <v>414</v>
      </c>
      <c r="U233" s="66"/>
      <c r="V233" s="1">
        <v>1933</v>
      </c>
      <c r="W233" s="66"/>
      <c r="X233" s="66">
        <v>0</v>
      </c>
      <c r="Y233" s="66"/>
      <c r="Z233" s="66">
        <v>0</v>
      </c>
      <c r="AA233" s="66"/>
      <c r="AB233" s="66">
        <v>0</v>
      </c>
      <c r="AC233" s="66"/>
      <c r="AD233" s="66">
        <v>0</v>
      </c>
      <c r="AE233" s="66"/>
      <c r="AF233" s="66">
        <v>0</v>
      </c>
      <c r="AH233" s="4">
        <f t="shared" si="6"/>
        <v>1235458</v>
      </c>
    </row>
    <row r="234" spans="1:65" s="4" customFormat="1">
      <c r="A234" s="4">
        <v>74</v>
      </c>
      <c r="B234" s="4" t="s">
        <v>438</v>
      </c>
      <c r="D234" s="4" t="s">
        <v>17</v>
      </c>
      <c r="F234" s="66">
        <v>3843736</v>
      </c>
      <c r="G234" s="66"/>
      <c r="H234" s="66">
        <v>1094768</v>
      </c>
      <c r="I234" s="66"/>
      <c r="J234" s="66">
        <v>36561</v>
      </c>
      <c r="K234" s="66"/>
      <c r="L234" s="66">
        <v>99393</v>
      </c>
      <c r="M234" s="66"/>
      <c r="N234" s="66">
        <v>0</v>
      </c>
      <c r="O234" s="66"/>
      <c r="P234" s="66">
        <v>0</v>
      </c>
      <c r="Q234" s="66"/>
      <c r="R234" s="66">
        <v>9192</v>
      </c>
      <c r="S234" s="66"/>
      <c r="T234" s="66">
        <v>18551</v>
      </c>
      <c r="U234" s="66"/>
      <c r="V234" s="66">
        <v>27565</v>
      </c>
      <c r="W234" s="66"/>
      <c r="X234" s="66">
        <v>0</v>
      </c>
      <c r="Y234" s="66"/>
      <c r="Z234" s="66">
        <v>15028</v>
      </c>
      <c r="AA234" s="66"/>
      <c r="AB234" s="66">
        <v>0</v>
      </c>
      <c r="AC234" s="66"/>
      <c r="AD234" s="66">
        <v>0</v>
      </c>
      <c r="AE234" s="66"/>
      <c r="AF234" s="66">
        <v>0</v>
      </c>
      <c r="AH234" s="4">
        <f t="shared" si="6"/>
        <v>5144794</v>
      </c>
    </row>
    <row r="235" spans="1:65" s="4" customFormat="1">
      <c r="A235" s="4">
        <v>249</v>
      </c>
      <c r="B235" s="4" t="s">
        <v>21</v>
      </c>
      <c r="D235" s="4" t="s">
        <v>22</v>
      </c>
      <c r="F235" s="66">
        <v>904914</v>
      </c>
      <c r="G235" s="66"/>
      <c r="H235" s="66">
        <v>0</v>
      </c>
      <c r="I235" s="66"/>
      <c r="J235" s="66">
        <v>2386620</v>
      </c>
      <c r="K235" s="66"/>
      <c r="L235" s="66">
        <v>50226</v>
      </c>
      <c r="M235" s="66"/>
      <c r="N235" s="66">
        <v>0</v>
      </c>
      <c r="O235" s="66"/>
      <c r="P235" s="66">
        <v>0</v>
      </c>
      <c r="Q235" s="66"/>
      <c r="R235" s="66">
        <v>21350</v>
      </c>
      <c r="S235" s="66"/>
      <c r="T235" s="66">
        <v>1051</v>
      </c>
      <c r="U235" s="66"/>
      <c r="V235" s="66">
        <v>59084</v>
      </c>
      <c r="W235" s="66"/>
      <c r="X235" s="66">
        <v>0</v>
      </c>
      <c r="Y235" s="66"/>
      <c r="Z235" s="66">
        <v>0</v>
      </c>
      <c r="AA235" s="66"/>
      <c r="AB235" s="66">
        <v>0</v>
      </c>
      <c r="AC235" s="66"/>
      <c r="AD235" s="66">
        <v>0</v>
      </c>
      <c r="AE235" s="66"/>
      <c r="AF235" s="66">
        <v>0</v>
      </c>
      <c r="AH235" s="4">
        <f t="shared" si="6"/>
        <v>3423245</v>
      </c>
    </row>
    <row r="236" spans="1:65" s="4" customFormat="1">
      <c r="A236" s="4">
        <v>208</v>
      </c>
      <c r="B236" s="4" t="s">
        <v>596</v>
      </c>
      <c r="D236" s="4" t="s">
        <v>100</v>
      </c>
      <c r="F236" s="66">
        <v>755709</v>
      </c>
      <c r="G236" s="66"/>
      <c r="H236" s="66">
        <v>0</v>
      </c>
      <c r="I236" s="66"/>
      <c r="J236" s="66">
        <v>1077118</v>
      </c>
      <c r="K236" s="66"/>
      <c r="L236" s="66">
        <v>14143</v>
      </c>
      <c r="M236" s="66"/>
      <c r="N236" s="66">
        <v>0</v>
      </c>
      <c r="O236" s="66"/>
      <c r="P236" s="66">
        <v>0</v>
      </c>
      <c r="Q236" s="66"/>
      <c r="R236" s="66">
        <v>4398</v>
      </c>
      <c r="S236" s="66"/>
      <c r="T236" s="66">
        <v>415</v>
      </c>
      <c r="U236" s="66"/>
      <c r="V236" s="66">
        <f>14891+13671</f>
        <v>28562</v>
      </c>
      <c r="W236" s="66"/>
      <c r="X236" s="66">
        <v>0</v>
      </c>
      <c r="Y236" s="66"/>
      <c r="Z236" s="66">
        <v>0</v>
      </c>
      <c r="AA236" s="66"/>
      <c r="AB236" s="66">
        <v>0</v>
      </c>
      <c r="AC236" s="66"/>
      <c r="AD236" s="66">
        <v>0</v>
      </c>
      <c r="AE236" s="66"/>
      <c r="AF236" s="66">
        <v>0</v>
      </c>
      <c r="AH236" s="4">
        <f t="shared" si="6"/>
        <v>1880345</v>
      </c>
    </row>
    <row r="237" spans="1:65" s="4" customFormat="1">
      <c r="B237" s="4" t="s">
        <v>609</v>
      </c>
      <c r="C237" s="15"/>
      <c r="D237" s="15" t="s">
        <v>569</v>
      </c>
      <c r="F237" s="66">
        <v>17613602</v>
      </c>
      <c r="G237" s="66"/>
      <c r="H237" s="66">
        <v>0</v>
      </c>
      <c r="I237" s="66"/>
      <c r="J237" s="66">
        <v>39540316</v>
      </c>
      <c r="K237" s="66"/>
      <c r="L237" s="66">
        <v>1853699</v>
      </c>
      <c r="M237" s="66"/>
      <c r="N237" s="66">
        <v>0</v>
      </c>
      <c r="O237" s="66"/>
      <c r="P237" s="66">
        <v>3048</v>
      </c>
      <c r="Q237" s="66"/>
      <c r="R237" s="66">
        <v>76934</v>
      </c>
      <c r="S237" s="66"/>
      <c r="T237" s="66">
        <v>32119</v>
      </c>
      <c r="U237" s="66"/>
      <c r="V237" s="66">
        <v>563561</v>
      </c>
      <c r="W237" s="66"/>
      <c r="X237" s="66">
        <v>0</v>
      </c>
      <c r="Y237" s="66"/>
      <c r="Z237" s="66">
        <v>0</v>
      </c>
      <c r="AA237" s="66"/>
      <c r="AB237" s="66">
        <v>0</v>
      </c>
      <c r="AC237" s="66"/>
      <c r="AD237" s="66">
        <v>0</v>
      </c>
      <c r="AE237" s="66"/>
      <c r="AF237" s="66">
        <v>0</v>
      </c>
      <c r="AH237" s="4">
        <f t="shared" si="6"/>
        <v>59683279</v>
      </c>
    </row>
    <row r="238" spans="1:65" s="4" customFormat="1">
      <c r="A238" s="4">
        <v>64</v>
      </c>
      <c r="B238" s="35" t="s">
        <v>236</v>
      </c>
      <c r="C238" s="35"/>
      <c r="D238" s="35" t="s">
        <v>44</v>
      </c>
      <c r="E238" s="35"/>
      <c r="F238" s="6">
        <v>188151.97</v>
      </c>
      <c r="G238" s="6"/>
      <c r="H238" s="6">
        <v>443946.99</v>
      </c>
      <c r="I238" s="6"/>
      <c r="J238" s="6">
        <v>31465.279999999999</v>
      </c>
      <c r="K238" s="6"/>
      <c r="L238" s="6">
        <v>23808.65</v>
      </c>
      <c r="M238" s="6"/>
      <c r="N238" s="6">
        <v>0</v>
      </c>
      <c r="O238" s="6"/>
      <c r="P238" s="6">
        <v>0</v>
      </c>
      <c r="Q238" s="6"/>
      <c r="R238" s="6">
        <v>3871</v>
      </c>
      <c r="S238" s="6"/>
      <c r="T238" s="6">
        <v>1208.75</v>
      </c>
      <c r="U238" s="6"/>
      <c r="V238" s="6">
        <v>27543.279999999999</v>
      </c>
      <c r="W238" s="6"/>
      <c r="X238" s="6">
        <v>0</v>
      </c>
      <c r="Y238" s="6"/>
      <c r="Z238" s="6">
        <v>0</v>
      </c>
      <c r="AA238" s="6"/>
      <c r="AB238" s="6">
        <v>0</v>
      </c>
      <c r="AC238" s="6"/>
      <c r="AD238" s="6">
        <v>0</v>
      </c>
      <c r="AE238" s="6"/>
      <c r="AF238" s="6">
        <v>0</v>
      </c>
      <c r="AG238" s="6"/>
      <c r="AH238" s="6">
        <f>SUM(F238:AF238)</f>
        <v>719995.92</v>
      </c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</row>
    <row r="239" spans="1:65" s="4" customFormat="1">
      <c r="A239" s="4">
        <v>188</v>
      </c>
      <c r="B239" s="35" t="s">
        <v>572</v>
      </c>
      <c r="C239" s="35"/>
      <c r="D239" s="35" t="s">
        <v>573</v>
      </c>
      <c r="E239" s="35"/>
      <c r="F239" s="6">
        <v>0</v>
      </c>
      <c r="G239" s="6"/>
      <c r="H239" s="6">
        <v>1020994.22</v>
      </c>
      <c r="I239" s="6"/>
      <c r="J239" s="6">
        <v>7770.45</v>
      </c>
      <c r="K239" s="6"/>
      <c r="L239" s="6">
        <v>14880.76</v>
      </c>
      <c r="M239" s="6"/>
      <c r="N239" s="6">
        <v>0</v>
      </c>
      <c r="O239" s="6"/>
      <c r="P239" s="6">
        <v>0</v>
      </c>
      <c r="Q239" s="6"/>
      <c r="R239" s="6">
        <v>23.36</v>
      </c>
      <c r="S239" s="6"/>
      <c r="T239" s="6">
        <v>15946.93</v>
      </c>
      <c r="U239" s="6"/>
      <c r="V239" s="6">
        <v>8836.2000000000007</v>
      </c>
      <c r="W239" s="6"/>
      <c r="X239" s="6">
        <v>0</v>
      </c>
      <c r="Y239" s="6"/>
      <c r="Z239" s="6">
        <v>0</v>
      </c>
      <c r="AA239" s="6"/>
      <c r="AB239" s="6">
        <v>28062.75</v>
      </c>
      <c r="AC239" s="6"/>
      <c r="AD239" s="6">
        <v>0</v>
      </c>
      <c r="AE239" s="6"/>
      <c r="AF239" s="6">
        <v>0</v>
      </c>
      <c r="AG239" s="6"/>
      <c r="AH239" s="6">
        <f>SUM(F239:AF239)</f>
        <v>1096514.67</v>
      </c>
    </row>
    <row r="240" spans="1:65" s="4" customFormat="1">
      <c r="A240" s="4">
        <v>16</v>
      </c>
      <c r="B240" s="4" t="s">
        <v>237</v>
      </c>
      <c r="D240" s="4" t="s">
        <v>171</v>
      </c>
      <c r="F240" s="6">
        <v>460359.09</v>
      </c>
      <c r="G240" s="6"/>
      <c r="H240" s="6">
        <v>867777.51</v>
      </c>
      <c r="I240" s="6"/>
      <c r="J240" s="6">
        <v>59961.52</v>
      </c>
      <c r="K240" s="6"/>
      <c r="L240" s="6">
        <v>35474.28</v>
      </c>
      <c r="M240" s="6"/>
      <c r="N240" s="6">
        <v>0</v>
      </c>
      <c r="O240" s="6"/>
      <c r="P240" s="6">
        <v>18.25</v>
      </c>
      <c r="Q240" s="6"/>
      <c r="R240" s="6">
        <v>16315.76</v>
      </c>
      <c r="S240" s="6"/>
      <c r="T240" s="6">
        <v>4629.68</v>
      </c>
      <c r="U240" s="6"/>
      <c r="V240" s="6">
        <v>5214.8999999999996</v>
      </c>
      <c r="W240" s="6"/>
      <c r="X240" s="6">
        <v>0</v>
      </c>
      <c r="Y240" s="6"/>
      <c r="Z240" s="6">
        <v>2790.92</v>
      </c>
      <c r="AA240" s="6"/>
      <c r="AB240" s="6">
        <v>0</v>
      </c>
      <c r="AC240" s="6"/>
      <c r="AD240" s="6">
        <v>4081.21</v>
      </c>
      <c r="AE240" s="6"/>
      <c r="AF240" s="6">
        <v>0</v>
      </c>
      <c r="AG240" s="6"/>
      <c r="AH240" s="6">
        <f>SUM(F240:AF240)</f>
        <v>1456623.1199999999</v>
      </c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</row>
    <row r="241" spans="1:65" s="4" customFormat="1">
      <c r="A241" s="4">
        <v>141</v>
      </c>
      <c r="B241" s="4" t="s">
        <v>311</v>
      </c>
      <c r="D241" s="4" t="s">
        <v>213</v>
      </c>
      <c r="F241" s="66">
        <v>9354539</v>
      </c>
      <c r="G241" s="66"/>
      <c r="H241" s="66">
        <v>7855274</v>
      </c>
      <c r="I241" s="66"/>
      <c r="J241" s="66">
        <v>1553207</v>
      </c>
      <c r="K241" s="66"/>
      <c r="L241" s="66">
        <v>236325</v>
      </c>
      <c r="M241" s="66"/>
      <c r="N241" s="66">
        <v>0</v>
      </c>
      <c r="O241" s="66"/>
      <c r="P241" s="66">
        <v>0</v>
      </c>
      <c r="Q241" s="66"/>
      <c r="R241" s="66">
        <v>52551</v>
      </c>
      <c r="S241" s="66"/>
      <c r="T241" s="66">
        <v>23692</v>
      </c>
      <c r="U241" s="66"/>
      <c r="V241" s="66">
        <v>107759</v>
      </c>
      <c r="W241" s="66"/>
      <c r="X241" s="66">
        <v>0</v>
      </c>
      <c r="Y241" s="66"/>
      <c r="Z241" s="66">
        <v>0</v>
      </c>
      <c r="AA241" s="66"/>
      <c r="AB241" s="66">
        <v>0</v>
      </c>
      <c r="AC241" s="66"/>
      <c r="AD241" s="66">
        <v>0</v>
      </c>
      <c r="AE241" s="66"/>
      <c r="AF241" s="66">
        <v>0</v>
      </c>
      <c r="AH241" s="4">
        <f t="shared" ref="AH241:AH242" si="8">SUM(F241:AF241)</f>
        <v>19183347</v>
      </c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</row>
    <row r="242" spans="1:65" s="4" customFormat="1">
      <c r="A242" s="4">
        <v>220</v>
      </c>
      <c r="B242" s="4" t="s">
        <v>239</v>
      </c>
      <c r="D242" s="4" t="s">
        <v>191</v>
      </c>
      <c r="F242" s="66">
        <v>0</v>
      </c>
      <c r="G242" s="66"/>
      <c r="H242" s="66">
        <v>289448.06</v>
      </c>
      <c r="I242" s="66"/>
      <c r="J242" s="66">
        <v>0</v>
      </c>
      <c r="K242" s="66"/>
      <c r="L242" s="66">
        <v>5262.53</v>
      </c>
      <c r="M242" s="66"/>
      <c r="N242" s="66">
        <v>0</v>
      </c>
      <c r="O242" s="66"/>
      <c r="P242" s="66">
        <v>0</v>
      </c>
      <c r="Q242" s="66"/>
      <c r="R242" s="66">
        <v>274.52</v>
      </c>
      <c r="S242" s="66"/>
      <c r="T242" s="66">
        <v>351.18</v>
      </c>
      <c r="U242" s="66"/>
      <c r="V242" s="66">
        <v>319.82</v>
      </c>
      <c r="W242" s="66"/>
      <c r="X242" s="66">
        <v>0</v>
      </c>
      <c r="Y242" s="66"/>
      <c r="Z242" s="66">
        <v>0</v>
      </c>
      <c r="AA242" s="66"/>
      <c r="AB242" s="66">
        <v>0</v>
      </c>
      <c r="AC242" s="66"/>
      <c r="AD242" s="66">
        <v>0</v>
      </c>
      <c r="AE242" s="66"/>
      <c r="AF242" s="66">
        <v>0</v>
      </c>
      <c r="AH242" s="4">
        <f t="shared" si="8"/>
        <v>295656.11000000004</v>
      </c>
    </row>
    <row r="243" spans="1:65" s="4" customFormat="1">
      <c r="N243" s="35"/>
      <c r="P243" s="35"/>
      <c r="R243" s="35"/>
      <c r="X243" s="35"/>
      <c r="Z243" s="35"/>
      <c r="AB243" s="35"/>
      <c r="AD243" s="35"/>
      <c r="AF243" s="3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</row>
    <row r="244" spans="1:65" s="4" customFormat="1">
      <c r="N244" s="35"/>
      <c r="P244" s="35"/>
      <c r="R244" s="35"/>
      <c r="X244" s="35"/>
      <c r="Z244" s="35"/>
      <c r="AB244" s="35"/>
      <c r="AD244" s="35"/>
      <c r="AF244" s="35"/>
      <c r="AH244" s="43" t="s">
        <v>580</v>
      </c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</row>
    <row r="245" spans="1:65">
      <c r="B245" s="3" t="s">
        <v>516</v>
      </c>
    </row>
    <row r="246" spans="1:65">
      <c r="B246" s="3" t="s">
        <v>626</v>
      </c>
    </row>
    <row r="247" spans="1:65">
      <c r="B247" s="41" t="s">
        <v>5</v>
      </c>
    </row>
    <row r="248" spans="1:65" s="36" customFormat="1">
      <c r="H248" s="36" t="s">
        <v>280</v>
      </c>
    </row>
    <row r="249" spans="1:65" s="36" customFormat="1">
      <c r="F249" s="36" t="s">
        <v>29</v>
      </c>
      <c r="H249" s="36" t="s">
        <v>281</v>
      </c>
      <c r="P249" s="36" t="s">
        <v>27</v>
      </c>
      <c r="R249" s="36" t="s">
        <v>287</v>
      </c>
      <c r="X249" s="36" t="s">
        <v>292</v>
      </c>
      <c r="AD249" s="36" t="s">
        <v>0</v>
      </c>
    </row>
    <row r="250" spans="1:65" s="36" customFormat="1" ht="12" customHeight="1">
      <c r="F250" s="36" t="s">
        <v>0</v>
      </c>
      <c r="H250" s="36" t="s">
        <v>282</v>
      </c>
      <c r="J250" s="36" t="s">
        <v>344</v>
      </c>
      <c r="L250" s="36" t="s">
        <v>284</v>
      </c>
      <c r="P250" s="36" t="s">
        <v>286</v>
      </c>
      <c r="R250" s="36" t="s">
        <v>288</v>
      </c>
      <c r="T250" s="36" t="s">
        <v>290</v>
      </c>
      <c r="X250" s="36" t="s">
        <v>293</v>
      </c>
      <c r="AD250" s="36" t="s">
        <v>294</v>
      </c>
      <c r="AF250" s="36" t="s">
        <v>552</v>
      </c>
    </row>
    <row r="251" spans="1:65" s="36" customFormat="1" ht="12" customHeight="1">
      <c r="A251" s="36" t="s">
        <v>567</v>
      </c>
      <c r="B251" s="37" t="s">
        <v>3</v>
      </c>
      <c r="D251" s="37" t="s">
        <v>4</v>
      </c>
      <c r="F251" s="37" t="s">
        <v>279</v>
      </c>
      <c r="H251" s="37" t="s">
        <v>283</v>
      </c>
      <c r="I251" s="44"/>
      <c r="J251" s="37" t="s">
        <v>345</v>
      </c>
      <c r="L251" s="37" t="s">
        <v>285</v>
      </c>
      <c r="N251" s="37" t="s">
        <v>549</v>
      </c>
      <c r="P251" s="37" t="s">
        <v>551</v>
      </c>
      <c r="R251" s="37" t="s">
        <v>289</v>
      </c>
      <c r="T251" s="37" t="s">
        <v>291</v>
      </c>
      <c r="V251" s="37" t="s">
        <v>1</v>
      </c>
      <c r="X251" s="37" t="s">
        <v>30</v>
      </c>
      <c r="Z251" s="37" t="s">
        <v>502</v>
      </c>
      <c r="AB251" s="37" t="s">
        <v>503</v>
      </c>
      <c r="AD251" s="37" t="s">
        <v>295</v>
      </c>
      <c r="AF251" s="37" t="s">
        <v>418</v>
      </c>
      <c r="AH251" s="45" t="s">
        <v>26</v>
      </c>
    </row>
    <row r="252" spans="1:65" s="4" customFormat="1">
      <c r="A252" s="4">
        <v>222</v>
      </c>
      <c r="B252" s="38" t="s">
        <v>312</v>
      </c>
      <c r="C252" s="38"/>
      <c r="D252" s="38" t="s">
        <v>59</v>
      </c>
      <c r="E252" s="38"/>
      <c r="F252" s="75">
        <v>15806.95</v>
      </c>
      <c r="G252" s="75"/>
      <c r="H252" s="75">
        <v>83335.23</v>
      </c>
      <c r="I252" s="75"/>
      <c r="J252" s="75">
        <v>2865.23</v>
      </c>
      <c r="K252" s="75"/>
      <c r="L252" s="75">
        <v>1560.13</v>
      </c>
      <c r="M252" s="75"/>
      <c r="N252" s="75">
        <v>0</v>
      </c>
      <c r="O252" s="75"/>
      <c r="P252" s="75">
        <v>0</v>
      </c>
      <c r="Q252" s="75"/>
      <c r="R252" s="75">
        <v>2924</v>
      </c>
      <c r="S252" s="75"/>
      <c r="T252" s="75">
        <v>498.17</v>
      </c>
      <c r="U252" s="75"/>
      <c r="V252" s="75">
        <v>979.19</v>
      </c>
      <c r="W252" s="75"/>
      <c r="X252" s="75">
        <v>0</v>
      </c>
      <c r="Y252" s="75"/>
      <c r="Z252" s="75">
        <v>0</v>
      </c>
      <c r="AA252" s="75"/>
      <c r="AB252" s="75">
        <v>0</v>
      </c>
      <c r="AC252" s="75"/>
      <c r="AD252" s="75">
        <v>0</v>
      </c>
      <c r="AE252" s="75"/>
      <c r="AF252" s="75">
        <v>0</v>
      </c>
      <c r="AG252" s="75"/>
      <c r="AH252" s="75">
        <f>SUM(F252:AF252)</f>
        <v>107968.9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</row>
    <row r="253" spans="1:65" s="4" customFormat="1">
      <c r="A253" s="4">
        <v>155</v>
      </c>
      <c r="B253" s="35" t="s">
        <v>460</v>
      </c>
      <c r="C253" s="35"/>
      <c r="D253" s="35" t="s">
        <v>165</v>
      </c>
      <c r="E253" s="35"/>
      <c r="F253" s="6">
        <v>531216.28</v>
      </c>
      <c r="G253" s="6"/>
      <c r="H253" s="6">
        <v>543928.91</v>
      </c>
      <c r="I253" s="6"/>
      <c r="J253" s="6">
        <v>1300</v>
      </c>
      <c r="K253" s="6"/>
      <c r="L253" s="6">
        <v>32807.58</v>
      </c>
      <c r="M253" s="6"/>
      <c r="N253" s="6">
        <v>0</v>
      </c>
      <c r="O253" s="6"/>
      <c r="P253" s="6">
        <v>0</v>
      </c>
      <c r="Q253" s="6"/>
      <c r="R253" s="6">
        <v>33982.129999999997</v>
      </c>
      <c r="S253" s="6"/>
      <c r="T253" s="6">
        <v>4461.7299999999996</v>
      </c>
      <c r="U253" s="6"/>
      <c r="V253" s="6">
        <v>3192.8</v>
      </c>
      <c r="W253" s="6"/>
      <c r="X253" s="6">
        <v>600</v>
      </c>
      <c r="Y253" s="6"/>
      <c r="Z253" s="6">
        <v>0</v>
      </c>
      <c r="AA253" s="6"/>
      <c r="AB253" s="6">
        <v>0</v>
      </c>
      <c r="AC253" s="6"/>
      <c r="AD253" s="6">
        <v>0</v>
      </c>
      <c r="AE253" s="6"/>
      <c r="AF253" s="6">
        <v>0</v>
      </c>
      <c r="AG253" s="6"/>
      <c r="AH253" s="6">
        <f>SUM(F253:AF253)</f>
        <v>1151489.43</v>
      </c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</row>
    <row r="254" spans="1:65" s="4" customFormat="1">
      <c r="A254" s="39">
        <v>130.1</v>
      </c>
      <c r="B254" s="35" t="s">
        <v>241</v>
      </c>
      <c r="C254" s="35"/>
      <c r="D254" s="35" t="s">
        <v>41</v>
      </c>
      <c r="E254" s="35"/>
      <c r="F254" s="6">
        <v>0</v>
      </c>
      <c r="G254" s="6"/>
      <c r="H254" s="6">
        <v>152824.42000000001</v>
      </c>
      <c r="I254" s="6"/>
      <c r="J254" s="6">
        <v>849.99</v>
      </c>
      <c r="K254" s="6"/>
      <c r="L254" s="6">
        <v>7053.33</v>
      </c>
      <c r="M254" s="6"/>
      <c r="N254" s="6">
        <v>0</v>
      </c>
      <c r="O254" s="6"/>
      <c r="P254" s="6">
        <v>0</v>
      </c>
      <c r="Q254" s="6"/>
      <c r="R254" s="6">
        <v>5628.07</v>
      </c>
      <c r="S254" s="6"/>
      <c r="T254" s="6">
        <v>302.3</v>
      </c>
      <c r="U254" s="6"/>
      <c r="V254" s="6">
        <v>154.21</v>
      </c>
      <c r="W254" s="6"/>
      <c r="X254" s="6">
        <v>0</v>
      </c>
      <c r="Y254" s="6"/>
      <c r="Z254" s="6">
        <v>0</v>
      </c>
      <c r="AA254" s="6"/>
      <c r="AB254" s="6">
        <v>0</v>
      </c>
      <c r="AC254" s="6"/>
      <c r="AD254" s="6">
        <v>0</v>
      </c>
      <c r="AE254" s="6"/>
      <c r="AF254" s="6">
        <v>0</v>
      </c>
      <c r="AG254" s="6"/>
      <c r="AH254" s="6">
        <f>SUM(F254:AF254)</f>
        <v>166812.31999999998</v>
      </c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</row>
    <row r="255" spans="1:65" s="4" customFormat="1">
      <c r="A255" s="4">
        <v>245</v>
      </c>
      <c r="B255" s="35" t="s">
        <v>339</v>
      </c>
      <c r="C255" s="35"/>
      <c r="D255" s="35" t="s">
        <v>48</v>
      </c>
      <c r="E255" s="35"/>
      <c r="F255" s="6">
        <v>60659.519999999997</v>
      </c>
      <c r="G255" s="6"/>
      <c r="H255" s="6">
        <v>150797.49</v>
      </c>
      <c r="I255" s="6"/>
      <c r="J255" s="6">
        <v>9423.18</v>
      </c>
      <c r="K255" s="6"/>
      <c r="L255" s="6">
        <v>1541.71</v>
      </c>
      <c r="M255" s="6"/>
      <c r="N255" s="6">
        <v>0</v>
      </c>
      <c r="O255" s="6"/>
      <c r="P255" s="6">
        <v>50</v>
      </c>
      <c r="Q255" s="6"/>
      <c r="R255" s="6">
        <v>366</v>
      </c>
      <c r="S255" s="6"/>
      <c r="T255" s="6">
        <v>120.36</v>
      </c>
      <c r="U255" s="6"/>
      <c r="V255" s="6">
        <v>827.8</v>
      </c>
      <c r="W255" s="6"/>
      <c r="X255" s="6">
        <v>0</v>
      </c>
      <c r="Y255" s="6"/>
      <c r="Z255" s="6">
        <v>0</v>
      </c>
      <c r="AA255" s="6"/>
      <c r="AB255" s="6">
        <v>10346</v>
      </c>
      <c r="AC255" s="6"/>
      <c r="AD255" s="6">
        <v>0</v>
      </c>
      <c r="AE255" s="6"/>
      <c r="AF255" s="6">
        <v>0</v>
      </c>
      <c r="AG255" s="6"/>
      <c r="AH255" s="6">
        <f>SUM(F255:AF255)</f>
        <v>234132.05999999994</v>
      </c>
    </row>
    <row r="256" spans="1:65" s="4" customFormat="1">
      <c r="A256" s="4">
        <v>211</v>
      </c>
      <c r="B256" s="4" t="s">
        <v>242</v>
      </c>
      <c r="D256" s="4" t="s">
        <v>17</v>
      </c>
      <c r="F256" s="1">
        <v>3090789</v>
      </c>
      <c r="G256" s="1"/>
      <c r="H256" s="1">
        <v>396842</v>
      </c>
      <c r="I256" s="1"/>
      <c r="J256" s="1">
        <v>454987</v>
      </c>
      <c r="K256" s="1"/>
      <c r="L256" s="1">
        <v>69851</v>
      </c>
      <c r="M256" s="1"/>
      <c r="N256" s="1">
        <v>0</v>
      </c>
      <c r="O256" s="1"/>
      <c r="P256" s="1">
        <v>0</v>
      </c>
      <c r="Q256" s="1"/>
      <c r="R256" s="1">
        <v>13929</v>
      </c>
      <c r="S256" s="1"/>
      <c r="T256" s="1">
        <v>4206</v>
      </c>
      <c r="U256" s="1"/>
      <c r="V256" s="1">
        <v>2914</v>
      </c>
      <c r="W256" s="1"/>
      <c r="X256" s="1">
        <v>0</v>
      </c>
      <c r="Y256" s="1"/>
      <c r="Z256" s="1">
        <v>0</v>
      </c>
      <c r="AA256" s="1"/>
      <c r="AB256" s="1">
        <v>0</v>
      </c>
      <c r="AC256" s="1"/>
      <c r="AD256" s="1">
        <v>0</v>
      </c>
      <c r="AE256" s="1"/>
      <c r="AF256" s="1">
        <v>0</v>
      </c>
      <c r="AH256" s="4">
        <f t="shared" ref="AH256:AH307" si="9">SUM(F256:AF256)</f>
        <v>4033518</v>
      </c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</row>
    <row r="257" spans="1:65" s="4" customFormat="1">
      <c r="A257" s="4">
        <v>218</v>
      </c>
      <c r="B257" s="4" t="s">
        <v>243</v>
      </c>
      <c r="D257" s="4" t="s">
        <v>23</v>
      </c>
      <c r="F257" s="1">
        <v>2104902</v>
      </c>
      <c r="G257" s="1"/>
      <c r="H257" s="1">
        <v>0</v>
      </c>
      <c r="I257" s="1"/>
      <c r="J257" s="1">
        <v>8110</v>
      </c>
      <c r="K257" s="1"/>
      <c r="L257" s="1">
        <v>27792</v>
      </c>
      <c r="M257" s="1"/>
      <c r="N257" s="1">
        <v>0</v>
      </c>
      <c r="O257" s="1"/>
      <c r="P257" s="1">
        <v>0</v>
      </c>
      <c r="Q257" s="1"/>
      <c r="R257" s="1">
        <v>24041</v>
      </c>
      <c r="S257" s="1"/>
      <c r="T257" s="1">
        <v>1826</v>
      </c>
      <c r="U257" s="1"/>
      <c r="V257" s="1">
        <v>374664</v>
      </c>
      <c r="W257" s="1"/>
      <c r="X257" s="1">
        <v>0</v>
      </c>
      <c r="Y257" s="1"/>
      <c r="Z257" s="1">
        <v>336000</v>
      </c>
      <c r="AA257" s="1"/>
      <c r="AB257" s="1">
        <v>0</v>
      </c>
      <c r="AC257" s="1"/>
      <c r="AD257" s="1">
        <v>0</v>
      </c>
      <c r="AE257" s="1"/>
      <c r="AF257" s="1">
        <v>0</v>
      </c>
      <c r="AH257" s="4">
        <f t="shared" si="9"/>
        <v>2877335</v>
      </c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</row>
    <row r="258" spans="1:65" s="4" customFormat="1">
      <c r="A258" s="4">
        <v>154</v>
      </c>
      <c r="B258" s="4" t="s">
        <v>244</v>
      </c>
      <c r="D258" s="4" t="s">
        <v>63</v>
      </c>
      <c r="F258" s="1">
        <v>319350</v>
      </c>
      <c r="G258" s="1"/>
      <c r="H258" s="1">
        <v>493706</v>
      </c>
      <c r="I258" s="1"/>
      <c r="J258" s="1">
        <v>114224</v>
      </c>
      <c r="K258" s="1"/>
      <c r="L258" s="1">
        <v>24675</v>
      </c>
      <c r="M258" s="1"/>
      <c r="N258" s="1">
        <v>0</v>
      </c>
      <c r="O258" s="1"/>
      <c r="P258" s="1">
        <v>0</v>
      </c>
      <c r="Q258" s="1"/>
      <c r="R258" s="1">
        <v>6143</v>
      </c>
      <c r="S258" s="1"/>
      <c r="T258" s="1">
        <v>3180</v>
      </c>
      <c r="U258" s="1"/>
      <c r="V258" s="1">
        <v>8230</v>
      </c>
      <c r="W258" s="1"/>
      <c r="X258" s="1">
        <v>0</v>
      </c>
      <c r="Y258" s="1"/>
      <c r="Z258" s="1">
        <v>0</v>
      </c>
      <c r="AA258" s="1"/>
      <c r="AB258" s="1">
        <v>0</v>
      </c>
      <c r="AC258" s="1"/>
      <c r="AD258" s="1">
        <v>0</v>
      </c>
      <c r="AE258" s="1"/>
      <c r="AF258" s="1">
        <v>0</v>
      </c>
      <c r="AH258" s="4">
        <f t="shared" si="9"/>
        <v>969508</v>
      </c>
    </row>
    <row r="259" spans="1:65" s="4" customFormat="1">
      <c r="A259" s="4">
        <v>192</v>
      </c>
      <c r="B259" s="35" t="s">
        <v>245</v>
      </c>
      <c r="C259" s="35"/>
      <c r="D259" s="35" t="s">
        <v>67</v>
      </c>
      <c r="E259" s="35"/>
      <c r="F259" s="74">
        <v>0</v>
      </c>
      <c r="G259" s="74"/>
      <c r="H259" s="74">
        <v>201053.6</v>
      </c>
      <c r="I259" s="74"/>
      <c r="J259" s="74">
        <v>217.41</v>
      </c>
      <c r="K259" s="74"/>
      <c r="L259" s="74">
        <v>1277.5</v>
      </c>
      <c r="M259" s="74"/>
      <c r="N259" s="74">
        <v>0</v>
      </c>
      <c r="O259" s="74"/>
      <c r="P259" s="74">
        <v>0</v>
      </c>
      <c r="Q259" s="74"/>
      <c r="R259" s="74">
        <v>9513.9699999999993</v>
      </c>
      <c r="S259" s="74"/>
      <c r="T259" s="74">
        <v>11145.73</v>
      </c>
      <c r="U259" s="74"/>
      <c r="V259" s="74">
        <v>145.11000000000001</v>
      </c>
      <c r="W259" s="74"/>
      <c r="X259" s="74">
        <v>155</v>
      </c>
      <c r="Y259" s="74"/>
      <c r="Z259" s="74">
        <v>0</v>
      </c>
      <c r="AA259" s="74"/>
      <c r="AB259" s="74">
        <v>0</v>
      </c>
      <c r="AC259" s="74"/>
      <c r="AD259" s="74">
        <v>0</v>
      </c>
      <c r="AE259" s="74"/>
      <c r="AF259" s="74">
        <v>0</v>
      </c>
      <c r="AG259" s="74"/>
      <c r="AH259" s="74">
        <f>SUM(F259:AF259)</f>
        <v>223508.32</v>
      </c>
    </row>
    <row r="260" spans="1:65" s="4" customFormat="1">
      <c r="A260" s="4">
        <v>221</v>
      </c>
      <c r="B260" s="35" t="s">
        <v>343</v>
      </c>
      <c r="C260" s="35"/>
      <c r="D260" s="35" t="s">
        <v>60</v>
      </c>
      <c r="E260" s="35"/>
      <c r="F260" s="6">
        <v>97152.14</v>
      </c>
      <c r="G260" s="6"/>
      <c r="H260" s="6">
        <v>251112.5</v>
      </c>
      <c r="I260" s="6"/>
      <c r="J260" s="6">
        <v>15731.92</v>
      </c>
      <c r="K260" s="6"/>
      <c r="L260" s="6">
        <v>7350.48</v>
      </c>
      <c r="M260" s="6"/>
      <c r="N260" s="6">
        <v>0</v>
      </c>
      <c r="O260" s="6"/>
      <c r="P260" s="6">
        <v>0</v>
      </c>
      <c r="Q260" s="6"/>
      <c r="R260" s="6">
        <v>61443.99</v>
      </c>
      <c r="S260" s="6"/>
      <c r="T260" s="6">
        <v>1776.55</v>
      </c>
      <c r="U260" s="6"/>
      <c r="V260" s="6">
        <v>3729.75</v>
      </c>
      <c r="W260" s="6"/>
      <c r="X260" s="6">
        <v>0</v>
      </c>
      <c r="Y260" s="6"/>
      <c r="Z260" s="6">
        <v>25715.99</v>
      </c>
      <c r="AA260" s="6"/>
      <c r="AB260" s="6">
        <v>0</v>
      </c>
      <c r="AC260" s="6"/>
      <c r="AD260" s="6">
        <v>0</v>
      </c>
      <c r="AE260" s="6"/>
      <c r="AF260" s="6">
        <v>0</v>
      </c>
      <c r="AG260" s="6"/>
      <c r="AH260" s="6">
        <f>SUM(F260:AF260)</f>
        <v>464013.31999999995</v>
      </c>
    </row>
    <row r="261" spans="1:65" s="4" customFormat="1">
      <c r="A261" s="4">
        <v>199</v>
      </c>
      <c r="B261" s="4" t="s">
        <v>246</v>
      </c>
      <c r="D261" s="4" t="s">
        <v>49</v>
      </c>
      <c r="F261" s="1">
        <v>322704</v>
      </c>
      <c r="G261" s="1"/>
      <c r="H261" s="1">
        <v>718041</v>
      </c>
      <c r="I261" s="1"/>
      <c r="J261" s="1">
        <v>48381</v>
      </c>
      <c r="K261" s="1"/>
      <c r="L261" s="1">
        <v>30893</v>
      </c>
      <c r="M261" s="1"/>
      <c r="N261" s="1">
        <v>0</v>
      </c>
      <c r="O261" s="1"/>
      <c r="P261" s="1">
        <v>0</v>
      </c>
      <c r="Q261" s="1"/>
      <c r="R261" s="1">
        <v>15029</v>
      </c>
      <c r="S261" s="1"/>
      <c r="T261" s="1">
        <v>964</v>
      </c>
      <c r="U261" s="1"/>
      <c r="V261" s="1">
        <v>10427</v>
      </c>
      <c r="W261" s="1"/>
      <c r="X261" s="1">
        <v>0</v>
      </c>
      <c r="Y261" s="1"/>
      <c r="Z261" s="1">
        <v>0</v>
      </c>
      <c r="AA261" s="1"/>
      <c r="AB261" s="1">
        <v>0</v>
      </c>
      <c r="AC261" s="1"/>
      <c r="AD261" s="1">
        <v>0</v>
      </c>
      <c r="AE261" s="1"/>
      <c r="AF261" s="1">
        <v>0</v>
      </c>
      <c r="AH261" s="4">
        <f t="shared" si="9"/>
        <v>1146439</v>
      </c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</row>
    <row r="262" spans="1:65" s="4" customFormat="1">
      <c r="A262" s="4">
        <v>69</v>
      </c>
      <c r="B262" s="4" t="s">
        <v>247</v>
      </c>
      <c r="D262" s="4" t="s">
        <v>52</v>
      </c>
      <c r="F262" s="1">
        <v>485527</v>
      </c>
      <c r="G262" s="1"/>
      <c r="H262" s="1">
        <v>585881</v>
      </c>
      <c r="I262" s="1"/>
      <c r="J262" s="1">
        <v>0</v>
      </c>
      <c r="K262" s="1"/>
      <c r="L262" s="1">
        <v>6455</v>
      </c>
      <c r="M262" s="1"/>
      <c r="N262" s="1">
        <v>0</v>
      </c>
      <c r="O262" s="1"/>
      <c r="P262" s="1">
        <v>0</v>
      </c>
      <c r="Q262" s="1"/>
      <c r="R262" s="1">
        <v>639</v>
      </c>
      <c r="S262" s="1"/>
      <c r="T262" s="1">
        <v>4401</v>
      </c>
      <c r="U262" s="1"/>
      <c r="V262" s="1">
        <v>30</v>
      </c>
      <c r="W262" s="1"/>
      <c r="X262" s="1">
        <v>0</v>
      </c>
      <c r="Y262" s="1"/>
      <c r="Z262" s="1">
        <v>0</v>
      </c>
      <c r="AA262" s="1"/>
      <c r="AB262" s="1">
        <v>0</v>
      </c>
      <c r="AC262" s="1"/>
      <c r="AD262" s="1">
        <v>0</v>
      </c>
      <c r="AE262" s="1"/>
      <c r="AF262" s="1">
        <v>0</v>
      </c>
      <c r="AH262" s="4">
        <f t="shared" si="9"/>
        <v>1082933</v>
      </c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</row>
    <row r="263" spans="1:65" s="4" customFormat="1">
      <c r="A263" s="4">
        <v>77</v>
      </c>
      <c r="B263" s="4" t="s">
        <v>313</v>
      </c>
      <c r="D263" s="4" t="s">
        <v>165</v>
      </c>
      <c r="F263" s="1">
        <v>1368681</v>
      </c>
      <c r="G263" s="1"/>
      <c r="H263" s="1">
        <v>1458962</v>
      </c>
      <c r="I263" s="1"/>
      <c r="J263" s="1">
        <v>208208</v>
      </c>
      <c r="K263" s="1"/>
      <c r="L263" s="1">
        <v>60142</v>
      </c>
      <c r="M263" s="1"/>
      <c r="N263" s="1">
        <v>0</v>
      </c>
      <c r="O263" s="1"/>
      <c r="P263" s="1">
        <v>1000</v>
      </c>
      <c r="Q263" s="1"/>
      <c r="R263" s="1">
        <v>62185</v>
      </c>
      <c r="S263" s="1"/>
      <c r="T263" s="1">
        <v>13146</v>
      </c>
      <c r="U263" s="1"/>
      <c r="V263" s="1">
        <v>27112</v>
      </c>
      <c r="W263" s="1"/>
      <c r="X263" s="1">
        <v>0</v>
      </c>
      <c r="Y263" s="1"/>
      <c r="Z263" s="1">
        <v>3984</v>
      </c>
      <c r="AA263" s="1"/>
      <c r="AB263" s="1">
        <v>0</v>
      </c>
      <c r="AC263" s="1"/>
      <c r="AD263" s="1">
        <v>0</v>
      </c>
      <c r="AE263" s="1"/>
      <c r="AF263" s="1">
        <v>0</v>
      </c>
      <c r="AH263" s="4">
        <f t="shared" si="9"/>
        <v>3203420</v>
      </c>
    </row>
    <row r="264" spans="1:65" s="4" customFormat="1">
      <c r="A264" s="4">
        <v>127</v>
      </c>
      <c r="B264" s="4" t="s">
        <v>248</v>
      </c>
      <c r="D264" s="4" t="s">
        <v>66</v>
      </c>
      <c r="F264" s="6">
        <v>0</v>
      </c>
      <c r="G264" s="6"/>
      <c r="H264" s="6">
        <v>218872.49</v>
      </c>
      <c r="I264" s="6"/>
      <c r="J264" s="6">
        <v>0</v>
      </c>
      <c r="K264" s="6"/>
      <c r="L264" s="6">
        <v>8131.48</v>
      </c>
      <c r="M264" s="6"/>
      <c r="N264" s="6">
        <v>0</v>
      </c>
      <c r="O264" s="6"/>
      <c r="P264" s="6">
        <v>0</v>
      </c>
      <c r="Q264" s="6"/>
      <c r="R264" s="6">
        <v>1590</v>
      </c>
      <c r="S264" s="6"/>
      <c r="T264" s="6">
        <v>1119.6400000000001</v>
      </c>
      <c r="U264" s="6"/>
      <c r="V264" s="6">
        <v>0</v>
      </c>
      <c r="W264" s="6"/>
      <c r="X264" s="6">
        <v>0</v>
      </c>
      <c r="Y264" s="6"/>
      <c r="Z264" s="6">
        <v>0</v>
      </c>
      <c r="AA264" s="6"/>
      <c r="AB264" s="6">
        <v>0</v>
      </c>
      <c r="AC264" s="6"/>
      <c r="AD264" s="6">
        <v>0</v>
      </c>
      <c r="AE264" s="6"/>
      <c r="AF264" s="6">
        <v>0</v>
      </c>
      <c r="AG264" s="6"/>
      <c r="AH264" s="6">
        <f>SUM(F264:AF264)</f>
        <v>229713.61000000002</v>
      </c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</row>
    <row r="265" spans="1:65" s="4" customFormat="1">
      <c r="A265" s="4">
        <v>126</v>
      </c>
      <c r="B265" s="4" t="s">
        <v>249</v>
      </c>
      <c r="D265" s="4" t="s">
        <v>43</v>
      </c>
      <c r="F265" s="6">
        <v>0</v>
      </c>
      <c r="G265" s="6"/>
      <c r="H265" s="6">
        <v>136285.43</v>
      </c>
      <c r="I265" s="6"/>
      <c r="J265" s="6">
        <v>0</v>
      </c>
      <c r="K265" s="6"/>
      <c r="L265" s="6">
        <v>1071.99</v>
      </c>
      <c r="M265" s="6"/>
      <c r="N265" s="6">
        <v>0</v>
      </c>
      <c r="O265" s="6"/>
      <c r="P265" s="6">
        <v>0</v>
      </c>
      <c r="Q265" s="6"/>
      <c r="R265" s="6">
        <v>26881.69</v>
      </c>
      <c r="S265" s="6"/>
      <c r="T265" s="6">
        <v>23.35</v>
      </c>
      <c r="U265" s="6"/>
      <c r="V265" s="6">
        <v>1544.94</v>
      </c>
      <c r="W265" s="6"/>
      <c r="X265" s="6">
        <v>0</v>
      </c>
      <c r="Y265" s="6"/>
      <c r="Z265" s="6">
        <v>0</v>
      </c>
      <c r="AA265" s="6"/>
      <c r="AB265" s="6">
        <v>0</v>
      </c>
      <c r="AC265" s="6"/>
      <c r="AD265" s="6">
        <v>0</v>
      </c>
      <c r="AE265" s="6"/>
      <c r="AF265" s="6">
        <v>0</v>
      </c>
      <c r="AG265" s="6"/>
      <c r="AH265" s="6">
        <f>SUM(F265:AF265)</f>
        <v>165807.4</v>
      </c>
    </row>
    <row r="266" spans="1:65" s="4" customFormat="1">
      <c r="A266" s="4">
        <v>120</v>
      </c>
      <c r="B266" s="4" t="s">
        <v>250</v>
      </c>
      <c r="D266" s="4" t="s">
        <v>17</v>
      </c>
      <c r="F266" s="1">
        <v>2913920</v>
      </c>
      <c r="G266" s="1"/>
      <c r="H266" s="1">
        <v>1446094</v>
      </c>
      <c r="I266" s="1"/>
      <c r="J266" s="1">
        <v>459499</v>
      </c>
      <c r="K266" s="1"/>
      <c r="L266" s="1">
        <v>128780</v>
      </c>
      <c r="M266" s="1"/>
      <c r="N266" s="1">
        <v>0</v>
      </c>
      <c r="O266" s="1"/>
      <c r="P266" s="1">
        <v>0</v>
      </c>
      <c r="Q266" s="1"/>
      <c r="R266" s="1">
        <v>8343</v>
      </c>
      <c r="S266" s="1"/>
      <c r="T266" s="1">
        <v>2859</v>
      </c>
      <c r="U266" s="1"/>
      <c r="V266" s="1">
        <v>78199</v>
      </c>
      <c r="W266" s="1"/>
      <c r="X266" s="1">
        <v>0</v>
      </c>
      <c r="Y266" s="1"/>
      <c r="Z266" s="1">
        <v>0</v>
      </c>
      <c r="AA266" s="1"/>
      <c r="AB266" s="1">
        <v>0</v>
      </c>
      <c r="AC266" s="1"/>
      <c r="AD266" s="1">
        <v>0</v>
      </c>
      <c r="AE266" s="1"/>
      <c r="AF266" s="1">
        <v>0</v>
      </c>
      <c r="AH266" s="4">
        <f t="shared" si="9"/>
        <v>5037694</v>
      </c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</row>
    <row r="267" spans="1:65" s="4" customFormat="1">
      <c r="A267" s="4">
        <v>202</v>
      </c>
      <c r="B267" s="4" t="s">
        <v>440</v>
      </c>
      <c r="D267" s="4" t="s">
        <v>168</v>
      </c>
      <c r="F267" s="1">
        <v>0</v>
      </c>
      <c r="G267" s="1"/>
      <c r="H267" s="1">
        <v>0</v>
      </c>
      <c r="I267" s="1"/>
      <c r="J267" s="1">
        <v>8000</v>
      </c>
      <c r="K267" s="1"/>
      <c r="L267" s="1">
        <v>3375</v>
      </c>
      <c r="M267" s="1"/>
      <c r="N267" s="1">
        <v>0</v>
      </c>
      <c r="O267" s="1"/>
      <c r="P267" s="1">
        <v>0</v>
      </c>
      <c r="Q267" s="1"/>
      <c r="R267" s="1">
        <v>0</v>
      </c>
      <c r="S267" s="1"/>
      <c r="T267" s="1">
        <v>1035</v>
      </c>
      <c r="U267" s="1"/>
      <c r="V267" s="1">
        <v>472</v>
      </c>
      <c r="W267" s="1"/>
      <c r="X267" s="1">
        <v>0</v>
      </c>
      <c r="Y267" s="1"/>
      <c r="Z267" s="1">
        <v>0</v>
      </c>
      <c r="AA267" s="1"/>
      <c r="AB267" s="1">
        <v>0</v>
      </c>
      <c r="AC267" s="1"/>
      <c r="AD267" s="1">
        <v>0</v>
      </c>
      <c r="AE267" s="1"/>
      <c r="AF267" s="1">
        <v>0</v>
      </c>
      <c r="AH267" s="4">
        <f t="shared" si="9"/>
        <v>12882</v>
      </c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</row>
    <row r="268" spans="1:65" s="4" customFormat="1">
      <c r="A268" s="4">
        <v>178</v>
      </c>
      <c r="B268" s="4" t="s">
        <v>252</v>
      </c>
      <c r="D268" s="4" t="s">
        <v>90</v>
      </c>
      <c r="F268" s="1">
        <v>2543755</v>
      </c>
      <c r="G268" s="1"/>
      <c r="H268" s="1">
        <v>3319230</v>
      </c>
      <c r="I268" s="1"/>
      <c r="J268" s="1">
        <v>0</v>
      </c>
      <c r="K268" s="1"/>
      <c r="L268" s="1">
        <v>149942</v>
      </c>
      <c r="M268" s="1"/>
      <c r="N268" s="1">
        <v>0</v>
      </c>
      <c r="O268" s="1"/>
      <c r="P268" s="1">
        <v>0</v>
      </c>
      <c r="Q268" s="1"/>
      <c r="R268" s="1">
        <v>9760</v>
      </c>
      <c r="S268" s="1"/>
      <c r="T268" s="1">
        <v>553</v>
      </c>
      <c r="U268" s="1"/>
      <c r="V268" s="1">
        <v>54526</v>
      </c>
      <c r="W268" s="1"/>
      <c r="X268" s="1">
        <v>0</v>
      </c>
      <c r="Y268" s="1"/>
      <c r="Z268" s="1">
        <v>0</v>
      </c>
      <c r="AA268" s="1"/>
      <c r="AB268" s="1">
        <v>0</v>
      </c>
      <c r="AC268" s="1"/>
      <c r="AD268" s="1">
        <v>0</v>
      </c>
      <c r="AE268" s="1"/>
      <c r="AF268" s="1">
        <v>0</v>
      </c>
      <c r="AH268" s="4">
        <f t="shared" si="9"/>
        <v>6077766</v>
      </c>
    </row>
    <row r="269" spans="1:65" s="4" customFormat="1">
      <c r="A269" s="4">
        <v>52</v>
      </c>
      <c r="B269" s="35" t="s">
        <v>314</v>
      </c>
      <c r="C269" s="35"/>
      <c r="D269" s="35" t="s">
        <v>11</v>
      </c>
      <c r="E269" s="35"/>
      <c r="F269" s="6">
        <v>0</v>
      </c>
      <c r="G269" s="6"/>
      <c r="H269" s="6">
        <v>408272</v>
      </c>
      <c r="I269" s="6"/>
      <c r="J269" s="6">
        <v>0</v>
      </c>
      <c r="K269" s="6"/>
      <c r="L269" s="6">
        <v>12260.36</v>
      </c>
      <c r="M269" s="6"/>
      <c r="N269" s="6">
        <v>0</v>
      </c>
      <c r="O269" s="6"/>
      <c r="P269" s="6">
        <v>0</v>
      </c>
      <c r="Q269" s="6"/>
      <c r="R269" s="6">
        <v>4156.99</v>
      </c>
      <c r="S269" s="6"/>
      <c r="T269" s="6">
        <v>285.98</v>
      </c>
      <c r="U269" s="6"/>
      <c r="V269" s="6">
        <v>57.69</v>
      </c>
      <c r="W269" s="6"/>
      <c r="X269" s="6">
        <v>0</v>
      </c>
      <c r="Y269" s="6"/>
      <c r="Z269" s="6">
        <v>0</v>
      </c>
      <c r="AA269" s="6"/>
      <c r="AB269" s="6">
        <v>0</v>
      </c>
      <c r="AC269" s="6"/>
      <c r="AD269" s="6">
        <v>0</v>
      </c>
      <c r="AE269" s="6"/>
      <c r="AF269" s="6">
        <v>0</v>
      </c>
      <c r="AG269" s="6"/>
      <c r="AH269" s="6">
        <f>SUM(F269:AF269)</f>
        <v>425033.01999999996</v>
      </c>
    </row>
    <row r="270" spans="1:65" s="4" customFormat="1">
      <c r="A270" s="4">
        <v>93</v>
      </c>
      <c r="B270" s="38" t="s">
        <v>340</v>
      </c>
      <c r="C270" s="38"/>
      <c r="D270" s="38" t="s">
        <v>42</v>
      </c>
      <c r="E270" s="38"/>
      <c r="F270" s="6">
        <v>160114.82999999999</v>
      </c>
      <c r="G270" s="6"/>
      <c r="H270" s="6">
        <v>424627.11</v>
      </c>
      <c r="I270" s="6"/>
      <c r="J270" s="6">
        <v>23701.05</v>
      </c>
      <c r="K270" s="6"/>
      <c r="L270" s="6">
        <v>10131.18</v>
      </c>
      <c r="M270" s="6"/>
      <c r="N270" s="6">
        <v>0</v>
      </c>
      <c r="O270" s="6"/>
      <c r="P270" s="6">
        <v>0</v>
      </c>
      <c r="Q270" s="6"/>
      <c r="R270" s="6">
        <v>1466</v>
      </c>
      <c r="S270" s="6"/>
      <c r="T270" s="6">
        <v>0</v>
      </c>
      <c r="U270" s="6"/>
      <c r="V270" s="6">
        <v>4255.3999999999996</v>
      </c>
      <c r="W270" s="6"/>
      <c r="X270" s="6">
        <v>0</v>
      </c>
      <c r="Y270" s="6"/>
      <c r="Z270" s="6">
        <v>0</v>
      </c>
      <c r="AA270" s="6"/>
      <c r="AB270" s="6">
        <v>12000</v>
      </c>
      <c r="AC270" s="6"/>
      <c r="AD270" s="6">
        <v>0</v>
      </c>
      <c r="AE270" s="6"/>
      <c r="AF270" s="6">
        <v>0</v>
      </c>
      <c r="AG270" s="6"/>
      <c r="AH270" s="6">
        <f>SUM(F270:AF270)</f>
        <v>636295.57000000007</v>
      </c>
    </row>
    <row r="271" spans="1:65" s="4" customFormat="1">
      <c r="A271" s="4">
        <v>5</v>
      </c>
      <c r="B271" s="4" t="s">
        <v>581</v>
      </c>
      <c r="D271" s="4" t="s">
        <v>23</v>
      </c>
      <c r="F271" s="1">
        <v>4095536</v>
      </c>
      <c r="G271" s="1"/>
      <c r="H271" s="1">
        <v>6678554</v>
      </c>
      <c r="I271" s="1"/>
      <c r="J271" s="1">
        <v>1084978</v>
      </c>
      <c r="K271" s="1"/>
      <c r="L271" s="1">
        <v>236599</v>
      </c>
      <c r="M271" s="1"/>
      <c r="N271" s="1">
        <v>0</v>
      </c>
      <c r="O271" s="1"/>
      <c r="P271" s="1">
        <v>58547</v>
      </c>
      <c r="Q271" s="1"/>
      <c r="R271" s="1">
        <v>18567</v>
      </c>
      <c r="S271" s="1"/>
      <c r="T271" s="1">
        <v>2005</v>
      </c>
      <c r="U271" s="1"/>
      <c r="V271" s="1">
        <v>80525</v>
      </c>
      <c r="W271" s="1"/>
      <c r="X271" s="1">
        <v>0</v>
      </c>
      <c r="Y271" s="1"/>
      <c r="Z271" s="1">
        <v>0</v>
      </c>
      <c r="AA271" s="1"/>
      <c r="AB271" s="1">
        <v>0</v>
      </c>
      <c r="AC271" s="1"/>
      <c r="AD271" s="1">
        <v>0</v>
      </c>
      <c r="AE271" s="1"/>
      <c r="AF271" s="1">
        <v>0</v>
      </c>
      <c r="AH271" s="4">
        <f t="shared" si="9"/>
        <v>12255311</v>
      </c>
    </row>
    <row r="272" spans="1:65" s="4" customFormat="1" ht="12" customHeight="1">
      <c r="A272" s="4">
        <v>70</v>
      </c>
      <c r="B272" s="4" t="s">
        <v>254</v>
      </c>
      <c r="D272" s="4" t="s">
        <v>255</v>
      </c>
      <c r="F272" s="6">
        <v>0</v>
      </c>
      <c r="G272" s="6"/>
      <c r="H272" s="6">
        <v>2334975.33</v>
      </c>
      <c r="I272" s="6"/>
      <c r="J272" s="6">
        <v>1175744.4099999999</v>
      </c>
      <c r="K272" s="6"/>
      <c r="L272" s="6">
        <v>76996.14</v>
      </c>
      <c r="M272" s="6"/>
      <c r="N272" s="6">
        <v>0</v>
      </c>
      <c r="O272" s="6"/>
      <c r="P272" s="6">
        <v>4500</v>
      </c>
      <c r="Q272" s="6"/>
      <c r="R272" s="6">
        <v>2115.39</v>
      </c>
      <c r="S272" s="6"/>
      <c r="T272" s="6">
        <v>5894.26</v>
      </c>
      <c r="U272" s="6"/>
      <c r="V272" s="6">
        <v>47909.13</v>
      </c>
      <c r="W272" s="6"/>
      <c r="X272" s="6">
        <v>2004</v>
      </c>
      <c r="Y272" s="6"/>
      <c r="Z272" s="6">
        <v>0</v>
      </c>
      <c r="AA272" s="6"/>
      <c r="AB272" s="6">
        <v>0</v>
      </c>
      <c r="AC272" s="6"/>
      <c r="AD272" s="6">
        <v>0</v>
      </c>
      <c r="AE272" s="6"/>
      <c r="AF272" s="6">
        <v>0</v>
      </c>
      <c r="AG272" s="6"/>
      <c r="AH272" s="6">
        <f>SUM(F272:AF272)</f>
        <v>3650138.66</v>
      </c>
    </row>
    <row r="273" spans="1:65" s="4" customFormat="1">
      <c r="A273" s="4">
        <v>134</v>
      </c>
      <c r="B273" s="4" t="s">
        <v>256</v>
      </c>
      <c r="D273" s="4" t="s">
        <v>20</v>
      </c>
      <c r="F273" s="1">
        <v>1739971</v>
      </c>
      <c r="G273" s="1"/>
      <c r="H273" s="1">
        <v>0</v>
      </c>
      <c r="I273" s="1"/>
      <c r="J273" s="1">
        <v>1251835</v>
      </c>
      <c r="K273" s="1"/>
      <c r="L273" s="1">
        <v>80785</v>
      </c>
      <c r="M273" s="1"/>
      <c r="N273" s="1">
        <v>0</v>
      </c>
      <c r="O273" s="1"/>
      <c r="P273" s="1">
        <v>0</v>
      </c>
      <c r="Q273" s="1"/>
      <c r="R273" s="1">
        <v>1326</v>
      </c>
      <c r="S273" s="1"/>
      <c r="T273" s="1">
        <v>339</v>
      </c>
      <c r="U273" s="1"/>
      <c r="V273" s="1">
        <v>28825</v>
      </c>
      <c r="W273" s="1"/>
      <c r="X273" s="1">
        <v>0</v>
      </c>
      <c r="Y273" s="1"/>
      <c r="Z273" s="1">
        <v>0</v>
      </c>
      <c r="AA273" s="1"/>
      <c r="AB273" s="1">
        <v>0</v>
      </c>
      <c r="AC273" s="1"/>
      <c r="AD273" s="1">
        <v>0</v>
      </c>
      <c r="AE273" s="1"/>
      <c r="AF273" s="1">
        <v>0</v>
      </c>
      <c r="AH273" s="4">
        <f t="shared" si="9"/>
        <v>3103081</v>
      </c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</row>
    <row r="274" spans="1:65" s="4" customFormat="1">
      <c r="A274" s="4">
        <v>142</v>
      </c>
      <c r="B274" s="35" t="s">
        <v>257</v>
      </c>
      <c r="C274" s="35"/>
      <c r="D274" s="35" t="s">
        <v>40</v>
      </c>
      <c r="E274" s="35"/>
      <c r="F274" s="6">
        <v>375597.07</v>
      </c>
      <c r="G274" s="6"/>
      <c r="H274" s="6">
        <v>0</v>
      </c>
      <c r="I274" s="6"/>
      <c r="J274" s="6">
        <v>0</v>
      </c>
      <c r="K274" s="6"/>
      <c r="L274" s="6">
        <v>12636.88</v>
      </c>
      <c r="M274" s="6"/>
      <c r="N274" s="6">
        <v>0</v>
      </c>
      <c r="O274" s="6"/>
      <c r="P274" s="6">
        <v>0</v>
      </c>
      <c r="Q274" s="6"/>
      <c r="R274" s="6">
        <v>9696.64</v>
      </c>
      <c r="S274" s="6"/>
      <c r="T274" s="6">
        <v>1628.18</v>
      </c>
      <c r="U274" s="6"/>
      <c r="V274" s="6">
        <v>5065.88</v>
      </c>
      <c r="W274" s="6"/>
      <c r="X274" s="6">
        <v>0</v>
      </c>
      <c r="Y274" s="6"/>
      <c r="Z274" s="6">
        <v>0</v>
      </c>
      <c r="AA274" s="6"/>
      <c r="AB274" s="6">
        <v>0</v>
      </c>
      <c r="AC274" s="6"/>
      <c r="AD274" s="6">
        <v>0</v>
      </c>
      <c r="AE274" s="6"/>
      <c r="AF274" s="6">
        <v>0</v>
      </c>
      <c r="AG274" s="6"/>
      <c r="AH274" s="6">
        <f>SUM(F274:AF274)</f>
        <v>404624.65</v>
      </c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</row>
    <row r="275" spans="1:65" s="4" customFormat="1">
      <c r="A275" s="4">
        <v>79</v>
      </c>
      <c r="B275" s="4" t="s">
        <v>315</v>
      </c>
      <c r="D275" s="4" t="s">
        <v>168</v>
      </c>
      <c r="F275" s="6">
        <v>0</v>
      </c>
      <c r="G275" s="6"/>
      <c r="H275" s="6">
        <v>354805.51</v>
      </c>
      <c r="I275" s="6"/>
      <c r="J275" s="6">
        <v>3900</v>
      </c>
      <c r="K275" s="6"/>
      <c r="L275" s="6">
        <v>12799.42</v>
      </c>
      <c r="M275" s="6"/>
      <c r="N275" s="6">
        <v>0</v>
      </c>
      <c r="O275" s="6"/>
      <c r="P275" s="6">
        <v>0</v>
      </c>
      <c r="Q275" s="6"/>
      <c r="R275" s="6">
        <v>9891.11</v>
      </c>
      <c r="S275" s="6"/>
      <c r="T275" s="6">
        <v>17373.22</v>
      </c>
      <c r="U275" s="6"/>
      <c r="V275" s="6">
        <v>811.23</v>
      </c>
      <c r="W275" s="6"/>
      <c r="X275" s="6">
        <v>0</v>
      </c>
      <c r="Y275" s="6"/>
      <c r="Z275" s="6">
        <v>0</v>
      </c>
      <c r="AA275" s="6"/>
      <c r="AB275" s="6">
        <v>0</v>
      </c>
      <c r="AC275" s="6"/>
      <c r="AD275" s="6">
        <v>0</v>
      </c>
      <c r="AE275" s="6"/>
      <c r="AF275" s="6">
        <v>0</v>
      </c>
      <c r="AG275" s="6"/>
      <c r="AH275" s="6">
        <f>SUM(F275:AF275)</f>
        <v>399580.49</v>
      </c>
    </row>
    <row r="276" spans="1:65" s="4" customFormat="1" hidden="1">
      <c r="A276" s="4">
        <v>56</v>
      </c>
      <c r="B276" s="4" t="s">
        <v>259</v>
      </c>
      <c r="D276" s="4" t="s">
        <v>20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H276" s="4">
        <f t="shared" si="9"/>
        <v>0</v>
      </c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</row>
    <row r="277" spans="1:65" s="4" customFormat="1" hidden="1">
      <c r="A277" s="4">
        <v>130</v>
      </c>
      <c r="B277" s="4" t="s">
        <v>568</v>
      </c>
      <c r="D277" s="4" t="s">
        <v>569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H277" s="4">
        <f t="shared" si="9"/>
        <v>0</v>
      </c>
    </row>
    <row r="278" spans="1:65" s="4" customFormat="1" hidden="1">
      <c r="A278" s="4">
        <v>55</v>
      </c>
      <c r="B278" s="4" t="s">
        <v>565</v>
      </c>
      <c r="D278" s="4" t="s">
        <v>65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H278" s="4">
        <f t="shared" si="9"/>
        <v>0</v>
      </c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</row>
    <row r="279" spans="1:65" s="4" customFormat="1">
      <c r="A279" s="4">
        <v>145</v>
      </c>
      <c r="B279" s="4" t="s">
        <v>260</v>
      </c>
      <c r="D279" s="4" t="s">
        <v>43</v>
      </c>
      <c r="F279" s="6">
        <v>491650.69</v>
      </c>
      <c r="G279" s="6"/>
      <c r="H279" s="6">
        <v>918644.07</v>
      </c>
      <c r="I279" s="6"/>
      <c r="J279" s="6">
        <v>74087.25</v>
      </c>
      <c r="K279" s="6"/>
      <c r="L279" s="6">
        <v>43278.559999999998</v>
      </c>
      <c r="M279" s="6"/>
      <c r="N279" s="6">
        <v>0</v>
      </c>
      <c r="O279" s="6"/>
      <c r="P279" s="6">
        <v>0</v>
      </c>
      <c r="Q279" s="6"/>
      <c r="R279" s="6">
        <v>29164.53</v>
      </c>
      <c r="S279" s="6"/>
      <c r="T279" s="6">
        <v>4343</v>
      </c>
      <c r="U279" s="6"/>
      <c r="V279" s="6">
        <v>1987.66</v>
      </c>
      <c r="W279" s="6"/>
      <c r="X279" s="6">
        <v>0</v>
      </c>
      <c r="Y279" s="6"/>
      <c r="Z279" s="6">
        <v>0</v>
      </c>
      <c r="AA279" s="6"/>
      <c r="AB279" s="6">
        <v>0</v>
      </c>
      <c r="AC279" s="6"/>
      <c r="AD279" s="6">
        <v>0</v>
      </c>
      <c r="AE279" s="6"/>
      <c r="AF279" s="6">
        <v>0</v>
      </c>
      <c r="AG279" s="6"/>
      <c r="AH279" s="6">
        <f>SUM(F279:AF279)</f>
        <v>1563155.76</v>
      </c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</row>
    <row r="280" spans="1:65" s="4" customFormat="1">
      <c r="A280" s="4">
        <v>54</v>
      </c>
      <c r="B280" s="4" t="s">
        <v>441</v>
      </c>
      <c r="D280" s="4" t="s">
        <v>51</v>
      </c>
      <c r="F280" s="1">
        <v>283227</v>
      </c>
      <c r="G280" s="1"/>
      <c r="H280" s="1">
        <v>0</v>
      </c>
      <c r="I280" s="1"/>
      <c r="J280" s="1">
        <v>463822</v>
      </c>
      <c r="K280" s="1"/>
      <c r="L280" s="1">
        <v>12645</v>
      </c>
      <c r="M280" s="1"/>
      <c r="N280" s="1">
        <v>0</v>
      </c>
      <c r="O280" s="1"/>
      <c r="P280" s="1">
        <v>0</v>
      </c>
      <c r="Q280" s="1"/>
      <c r="R280" s="1">
        <v>2319</v>
      </c>
      <c r="S280" s="1"/>
      <c r="T280" s="1">
        <v>1635</v>
      </c>
      <c r="U280" s="1"/>
      <c r="V280" s="1">
        <v>9199</v>
      </c>
      <c r="W280" s="1"/>
      <c r="X280" s="1">
        <v>0</v>
      </c>
      <c r="Y280" s="1"/>
      <c r="Z280" s="1">
        <v>0</v>
      </c>
      <c r="AA280" s="1"/>
      <c r="AB280" s="1">
        <v>0</v>
      </c>
      <c r="AC280" s="1"/>
      <c r="AD280" s="1">
        <v>0</v>
      </c>
      <c r="AE280" s="1"/>
      <c r="AF280" s="1">
        <v>0</v>
      </c>
      <c r="AH280" s="4">
        <f t="shared" si="9"/>
        <v>772847</v>
      </c>
    </row>
    <row r="281" spans="1:65" s="4" customFormat="1">
      <c r="A281" s="4">
        <v>32</v>
      </c>
      <c r="B281" s="4" t="s">
        <v>597</v>
      </c>
      <c r="D281" s="4" t="s">
        <v>316</v>
      </c>
      <c r="F281" s="1">
        <v>13574482</v>
      </c>
      <c r="G281" s="1"/>
      <c r="H281" s="1">
        <v>0</v>
      </c>
      <c r="I281" s="1"/>
      <c r="J281" s="1">
        <v>17807342</v>
      </c>
      <c r="K281" s="1"/>
      <c r="L281" s="1">
        <v>777717</v>
      </c>
      <c r="M281" s="1"/>
      <c r="N281" s="1">
        <v>0</v>
      </c>
      <c r="O281" s="1"/>
      <c r="P281" s="1">
        <v>77042</v>
      </c>
      <c r="Q281" s="1"/>
      <c r="R281" s="1">
        <v>29214</v>
      </c>
      <c r="S281" s="1"/>
      <c r="T281" s="1">
        <v>24503</v>
      </c>
      <c r="U281" s="1"/>
      <c r="V281" s="1">
        <v>89587</v>
      </c>
      <c r="W281" s="1"/>
      <c r="X281" s="1">
        <v>0</v>
      </c>
      <c r="Y281" s="1"/>
      <c r="Z281" s="1">
        <v>0</v>
      </c>
      <c r="AA281" s="1"/>
      <c r="AB281" s="1">
        <v>0</v>
      </c>
      <c r="AC281" s="1"/>
      <c r="AD281" s="1">
        <v>0</v>
      </c>
      <c r="AE281" s="1"/>
      <c r="AF281" s="1">
        <v>0</v>
      </c>
      <c r="AH281" s="4">
        <f t="shared" si="9"/>
        <v>32379887</v>
      </c>
    </row>
    <row r="282" spans="1:65" s="4" customFormat="1">
      <c r="A282" s="4">
        <v>57</v>
      </c>
      <c r="B282" s="4" t="s">
        <v>598</v>
      </c>
      <c r="D282" s="4" t="s">
        <v>51</v>
      </c>
      <c r="F282" s="1">
        <v>630500</v>
      </c>
      <c r="G282" s="1"/>
      <c r="H282" s="1">
        <v>1232712</v>
      </c>
      <c r="I282" s="1"/>
      <c r="J282" s="1">
        <v>0</v>
      </c>
      <c r="K282" s="1"/>
      <c r="L282" s="1">
        <v>44784</v>
      </c>
      <c r="M282" s="1"/>
      <c r="N282" s="1">
        <v>0</v>
      </c>
      <c r="O282" s="1"/>
      <c r="P282" s="1">
        <v>0</v>
      </c>
      <c r="Q282" s="1"/>
      <c r="R282" s="1">
        <v>49423</v>
      </c>
      <c r="S282" s="1"/>
      <c r="T282" s="1">
        <v>16828</v>
      </c>
      <c r="U282" s="1"/>
      <c r="V282" s="1">
        <v>12866</v>
      </c>
      <c r="W282" s="1"/>
      <c r="X282" s="1">
        <v>0</v>
      </c>
      <c r="Y282" s="1"/>
      <c r="Z282" s="1">
        <v>0</v>
      </c>
      <c r="AA282" s="1"/>
      <c r="AB282" s="1">
        <v>0</v>
      </c>
      <c r="AC282" s="1"/>
      <c r="AD282" s="1">
        <v>0</v>
      </c>
      <c r="AE282" s="1"/>
      <c r="AF282" s="1">
        <v>0</v>
      </c>
      <c r="AH282" s="4">
        <f t="shared" si="9"/>
        <v>1987113</v>
      </c>
    </row>
    <row r="283" spans="1:65" s="4" customFormat="1">
      <c r="A283" s="4">
        <v>53</v>
      </c>
      <c r="B283" s="4" t="s">
        <v>599</v>
      </c>
      <c r="D283" s="4" t="s">
        <v>24</v>
      </c>
      <c r="F283" s="1">
        <v>515390</v>
      </c>
      <c r="G283" s="1"/>
      <c r="H283" s="1">
        <v>0</v>
      </c>
      <c r="I283" s="1"/>
      <c r="J283" s="1">
        <v>1407749</v>
      </c>
      <c r="K283" s="1"/>
      <c r="L283" s="1">
        <v>55666</v>
      </c>
      <c r="M283" s="1"/>
      <c r="N283" s="1">
        <v>0</v>
      </c>
      <c r="O283" s="1"/>
      <c r="P283" s="1">
        <v>0</v>
      </c>
      <c r="Q283" s="1"/>
      <c r="R283" s="1">
        <v>0</v>
      </c>
      <c r="S283" s="1"/>
      <c r="T283" s="1">
        <v>1624</v>
      </c>
      <c r="U283" s="1"/>
      <c r="V283" s="1">
        <v>432</v>
      </c>
      <c r="W283" s="1"/>
      <c r="X283" s="1">
        <v>0</v>
      </c>
      <c r="Y283" s="1"/>
      <c r="Z283" s="1">
        <v>0</v>
      </c>
      <c r="AA283" s="1"/>
      <c r="AB283" s="1">
        <v>3600</v>
      </c>
      <c r="AC283" s="1"/>
      <c r="AD283" s="1">
        <v>0</v>
      </c>
      <c r="AE283" s="1"/>
      <c r="AF283" s="1">
        <v>0</v>
      </c>
      <c r="AH283" s="4">
        <f t="shared" si="9"/>
        <v>1984461</v>
      </c>
    </row>
    <row r="284" spans="1:65" s="4" customFormat="1">
      <c r="A284" s="4">
        <v>78</v>
      </c>
      <c r="B284" s="4" t="s">
        <v>317</v>
      </c>
      <c r="D284" s="4" t="s">
        <v>20</v>
      </c>
      <c r="F284" s="1">
        <v>1375720</v>
      </c>
      <c r="G284" s="1"/>
      <c r="H284" s="1">
        <v>1019116</v>
      </c>
      <c r="I284" s="1"/>
      <c r="J284" s="1">
        <v>297449</v>
      </c>
      <c r="K284" s="1"/>
      <c r="L284" s="1">
        <v>73312</v>
      </c>
      <c r="M284" s="1"/>
      <c r="N284" s="1">
        <v>0</v>
      </c>
      <c r="O284" s="1"/>
      <c r="P284" s="1">
        <v>8100</v>
      </c>
      <c r="Q284" s="1"/>
      <c r="R284" s="1">
        <v>17121</v>
      </c>
      <c r="S284" s="1"/>
      <c r="T284" s="1">
        <v>804</v>
      </c>
      <c r="U284" s="1"/>
      <c r="V284" s="1">
        <v>9602</v>
      </c>
      <c r="W284" s="1"/>
      <c r="X284" s="1">
        <v>0</v>
      </c>
      <c r="Y284" s="1"/>
      <c r="Z284" s="1">
        <v>0</v>
      </c>
      <c r="AA284" s="1"/>
      <c r="AB284" s="1">
        <v>0</v>
      </c>
      <c r="AC284" s="1"/>
      <c r="AD284" s="1">
        <v>0</v>
      </c>
      <c r="AE284" s="1"/>
      <c r="AF284" s="1">
        <v>0</v>
      </c>
      <c r="AH284" s="4">
        <f t="shared" si="9"/>
        <v>2801224</v>
      </c>
    </row>
    <row r="285" spans="1:65" s="7" customFormat="1">
      <c r="A285" s="4">
        <v>247</v>
      </c>
      <c r="B285" s="4" t="s">
        <v>264</v>
      </c>
      <c r="C285" s="4"/>
      <c r="D285" s="4" t="s">
        <v>45</v>
      </c>
      <c r="E285" s="4"/>
      <c r="F285" s="1">
        <v>167295</v>
      </c>
      <c r="G285" s="1"/>
      <c r="H285" s="1">
        <v>431701</v>
      </c>
      <c r="I285" s="1"/>
      <c r="J285" s="1">
        <v>0</v>
      </c>
      <c r="K285" s="1"/>
      <c r="L285" s="1">
        <v>11132</v>
      </c>
      <c r="M285" s="1"/>
      <c r="N285" s="1">
        <v>0</v>
      </c>
      <c r="O285" s="1"/>
      <c r="P285" s="1">
        <v>0</v>
      </c>
      <c r="Q285" s="1"/>
      <c r="R285" s="1">
        <v>9349</v>
      </c>
      <c r="S285" s="1"/>
      <c r="T285" s="1">
        <v>383</v>
      </c>
      <c r="U285" s="1"/>
      <c r="V285" s="1">
        <v>11245</v>
      </c>
      <c r="W285" s="1"/>
      <c r="X285" s="1">
        <v>0</v>
      </c>
      <c r="Y285" s="1"/>
      <c r="Z285" s="1">
        <v>0</v>
      </c>
      <c r="AA285" s="1"/>
      <c r="AB285" s="1">
        <v>0</v>
      </c>
      <c r="AC285" s="1"/>
      <c r="AD285" s="1">
        <v>0</v>
      </c>
      <c r="AE285" s="1"/>
      <c r="AF285" s="1">
        <v>0</v>
      </c>
      <c r="AG285" s="4"/>
      <c r="AH285" s="4">
        <f t="shared" si="9"/>
        <v>631105</v>
      </c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</row>
    <row r="286" spans="1:65" s="7" customFormat="1">
      <c r="A286" s="4"/>
      <c r="B286" s="4" t="s">
        <v>265</v>
      </c>
      <c r="C286" s="4"/>
      <c r="D286" s="4" t="s">
        <v>90</v>
      </c>
      <c r="E286" s="4"/>
      <c r="F286" s="1">
        <v>2705480</v>
      </c>
      <c r="G286" s="1"/>
      <c r="H286" s="1">
        <v>2532539</v>
      </c>
      <c r="I286" s="1"/>
      <c r="J286" s="1">
        <v>405288</v>
      </c>
      <c r="K286" s="1"/>
      <c r="L286" s="1">
        <v>163435</v>
      </c>
      <c r="M286" s="1"/>
      <c r="N286" s="1">
        <v>0</v>
      </c>
      <c r="O286" s="1"/>
      <c r="P286" s="1">
        <v>0</v>
      </c>
      <c r="Q286" s="1"/>
      <c r="R286" s="1">
        <v>2015</v>
      </c>
      <c r="S286" s="1"/>
      <c r="T286" s="1">
        <v>27923</v>
      </c>
      <c r="U286" s="1"/>
      <c r="V286" s="1">
        <v>30245</v>
      </c>
      <c r="W286" s="1"/>
      <c r="X286" s="1">
        <v>0</v>
      </c>
      <c r="Y286" s="1"/>
      <c r="Z286" s="1">
        <v>0</v>
      </c>
      <c r="AA286" s="1"/>
      <c r="AB286" s="1">
        <v>0</v>
      </c>
      <c r="AC286" s="1"/>
      <c r="AD286" s="1">
        <v>0</v>
      </c>
      <c r="AE286" s="1"/>
      <c r="AF286" s="1">
        <v>0</v>
      </c>
      <c r="AG286" s="4"/>
      <c r="AH286" s="4">
        <f t="shared" si="9"/>
        <v>5866925</v>
      </c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</row>
    <row r="287" spans="1:65" s="4" customFormat="1">
      <c r="A287" s="4">
        <v>26</v>
      </c>
      <c r="B287" s="4" t="s">
        <v>266</v>
      </c>
      <c r="D287" s="4" t="s">
        <v>61</v>
      </c>
      <c r="F287" s="6">
        <v>280993.15999999997</v>
      </c>
      <c r="G287" s="6"/>
      <c r="H287" s="6">
        <v>251139.14</v>
      </c>
      <c r="I287" s="6"/>
      <c r="J287" s="6">
        <v>25443.03</v>
      </c>
      <c r="K287" s="6"/>
      <c r="L287" s="6">
        <v>19701.91</v>
      </c>
      <c r="M287" s="6"/>
      <c r="N287" s="6">
        <v>0</v>
      </c>
      <c r="O287" s="6"/>
      <c r="P287" s="6">
        <v>0</v>
      </c>
      <c r="Q287" s="6"/>
      <c r="R287" s="6">
        <v>7953.44</v>
      </c>
      <c r="S287" s="6"/>
      <c r="T287" s="6">
        <v>998.21</v>
      </c>
      <c r="U287" s="6"/>
      <c r="V287" s="6">
        <v>2297.73</v>
      </c>
      <c r="W287" s="6"/>
      <c r="X287" s="6">
        <v>0</v>
      </c>
      <c r="Y287" s="6"/>
      <c r="Z287" s="6">
        <v>0</v>
      </c>
      <c r="AA287" s="6"/>
      <c r="AB287" s="6">
        <v>0</v>
      </c>
      <c r="AC287" s="6"/>
      <c r="AD287" s="6">
        <v>0</v>
      </c>
      <c r="AE287" s="6"/>
      <c r="AF287" s="6">
        <v>0</v>
      </c>
      <c r="AG287" s="6"/>
      <c r="AH287" s="6">
        <f>SUM(F287:AF287)</f>
        <v>588526.62</v>
      </c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</row>
    <row r="288" spans="1:65" s="4" customFormat="1">
      <c r="B288" s="4" t="s">
        <v>610</v>
      </c>
      <c r="D288" s="4" t="s">
        <v>65</v>
      </c>
      <c r="F288" s="1">
        <v>0</v>
      </c>
      <c r="G288" s="1"/>
      <c r="H288" s="1">
        <v>290518</v>
      </c>
      <c r="I288" s="1"/>
      <c r="J288" s="1">
        <v>398</v>
      </c>
      <c r="K288" s="1"/>
      <c r="L288" s="1">
        <v>26584</v>
      </c>
      <c r="M288" s="1"/>
      <c r="N288" s="1">
        <v>0</v>
      </c>
      <c r="O288" s="1"/>
      <c r="P288" s="1">
        <v>0</v>
      </c>
      <c r="Q288" s="1"/>
      <c r="R288" s="1">
        <v>6503</v>
      </c>
      <c r="S288" s="1"/>
      <c r="T288" s="1">
        <v>353</v>
      </c>
      <c r="U288" s="1"/>
      <c r="V288" s="1">
        <v>1633</v>
      </c>
      <c r="W288" s="1"/>
      <c r="X288" s="1">
        <v>0</v>
      </c>
      <c r="Y288" s="1"/>
      <c r="Z288" s="1">
        <v>6799</v>
      </c>
      <c r="AA288" s="1"/>
      <c r="AB288" s="1">
        <v>0</v>
      </c>
      <c r="AC288" s="1"/>
      <c r="AD288" s="1">
        <v>0</v>
      </c>
      <c r="AE288" s="1"/>
      <c r="AF288" s="1">
        <v>0</v>
      </c>
      <c r="AH288" s="4">
        <f t="shared" si="9"/>
        <v>332788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</row>
    <row r="289" spans="1:65" s="4" customFormat="1" hidden="1">
      <c r="A289" s="4">
        <v>25</v>
      </c>
      <c r="B289" s="4" t="s">
        <v>600</v>
      </c>
      <c r="D289" s="4" t="s">
        <v>54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H289" s="4">
        <f t="shared" si="9"/>
        <v>0</v>
      </c>
    </row>
    <row r="290" spans="1:65" s="4" customFormat="1">
      <c r="A290" s="4">
        <v>90</v>
      </c>
      <c r="B290" s="4" t="s">
        <v>601</v>
      </c>
      <c r="D290" s="4" t="s">
        <v>25</v>
      </c>
      <c r="F290" s="1">
        <v>1078137</v>
      </c>
      <c r="G290" s="1"/>
      <c r="H290" s="1">
        <v>0</v>
      </c>
      <c r="I290" s="1"/>
      <c r="J290" s="1">
        <v>1886863</v>
      </c>
      <c r="K290" s="1"/>
      <c r="L290" s="1">
        <v>72944</v>
      </c>
      <c r="M290" s="1"/>
      <c r="N290" s="1">
        <v>0</v>
      </c>
      <c r="O290" s="1"/>
      <c r="P290" s="1">
        <v>0</v>
      </c>
      <c r="Q290" s="1"/>
      <c r="R290" s="1">
        <v>3468</v>
      </c>
      <c r="S290" s="1"/>
      <c r="T290" s="1">
        <v>3067</v>
      </c>
      <c r="U290" s="1"/>
      <c r="V290" s="1">
        <v>4099</v>
      </c>
      <c r="W290" s="1"/>
      <c r="X290" s="1">
        <v>0</v>
      </c>
      <c r="Y290" s="1"/>
      <c r="Z290" s="1">
        <v>0</v>
      </c>
      <c r="AA290" s="1"/>
      <c r="AB290" s="1">
        <v>0</v>
      </c>
      <c r="AC290" s="1"/>
      <c r="AD290" s="1">
        <v>19</v>
      </c>
      <c r="AE290" s="1"/>
      <c r="AF290" s="1">
        <v>0</v>
      </c>
      <c r="AH290" s="4">
        <f t="shared" si="9"/>
        <v>3048597</v>
      </c>
    </row>
    <row r="291" spans="1:65" s="4" customFormat="1">
      <c r="A291" s="4">
        <v>230</v>
      </c>
      <c r="B291" s="4" t="s">
        <v>267</v>
      </c>
      <c r="D291" s="4" t="s">
        <v>53</v>
      </c>
      <c r="F291" s="1">
        <v>3370200</v>
      </c>
      <c r="G291" s="1"/>
      <c r="H291" s="1">
        <v>2127746</v>
      </c>
      <c r="I291" s="1"/>
      <c r="J291" s="1">
        <v>547000</v>
      </c>
      <c r="K291" s="1"/>
      <c r="L291" s="1">
        <v>313836</v>
      </c>
      <c r="M291" s="1"/>
      <c r="N291" s="1">
        <v>0</v>
      </c>
      <c r="O291" s="1"/>
      <c r="P291" s="1">
        <v>0</v>
      </c>
      <c r="Q291" s="1"/>
      <c r="R291" s="1">
        <v>12247</v>
      </c>
      <c r="S291" s="1"/>
      <c r="T291" s="1">
        <v>118888</v>
      </c>
      <c r="U291" s="1"/>
      <c r="V291" s="1">
        <v>16439</v>
      </c>
      <c r="W291" s="1"/>
      <c r="X291" s="1">
        <v>0</v>
      </c>
      <c r="Y291" s="1"/>
      <c r="Z291" s="1">
        <v>500000</v>
      </c>
      <c r="AA291" s="1"/>
      <c r="AB291" s="1">
        <v>0</v>
      </c>
      <c r="AC291" s="1"/>
      <c r="AD291" s="1">
        <v>0</v>
      </c>
      <c r="AE291" s="1"/>
      <c r="AF291" s="1">
        <v>0</v>
      </c>
      <c r="AH291" s="4">
        <f t="shared" si="9"/>
        <v>7006356</v>
      </c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</row>
    <row r="292" spans="1:65" s="4" customFormat="1">
      <c r="A292" s="4">
        <v>171</v>
      </c>
      <c r="B292" s="4" t="s">
        <v>36</v>
      </c>
      <c r="D292" s="4" t="s">
        <v>40</v>
      </c>
      <c r="F292" s="6">
        <v>25164.98</v>
      </c>
      <c r="G292" s="6"/>
      <c r="H292" s="6">
        <v>300094.94</v>
      </c>
      <c r="I292" s="6"/>
      <c r="J292" s="6">
        <v>4552.54</v>
      </c>
      <c r="K292" s="6"/>
      <c r="L292" s="6">
        <v>14228.9</v>
      </c>
      <c r="M292" s="6"/>
      <c r="N292" s="6">
        <v>0</v>
      </c>
      <c r="O292" s="6"/>
      <c r="P292" s="6">
        <v>0</v>
      </c>
      <c r="Q292" s="6"/>
      <c r="R292" s="6">
        <v>31789.64</v>
      </c>
      <c r="S292" s="6"/>
      <c r="T292" s="6">
        <v>5591.09</v>
      </c>
      <c r="U292" s="6"/>
      <c r="V292" s="6">
        <v>249</v>
      </c>
      <c r="W292" s="6"/>
      <c r="X292" s="6">
        <v>0</v>
      </c>
      <c r="Y292" s="6"/>
      <c r="Z292" s="6">
        <v>0</v>
      </c>
      <c r="AA292" s="6"/>
      <c r="AB292" s="6">
        <v>0</v>
      </c>
      <c r="AC292" s="6"/>
      <c r="AD292" s="6">
        <v>0</v>
      </c>
      <c r="AE292" s="6"/>
      <c r="AF292" s="6">
        <v>0</v>
      </c>
      <c r="AG292" s="6"/>
      <c r="AH292" s="6">
        <f>SUM(F292:AF292)</f>
        <v>381671.09</v>
      </c>
    </row>
    <row r="293" spans="1:65" s="4" customFormat="1">
      <c r="A293" s="4">
        <v>49</v>
      </c>
      <c r="B293" s="4" t="s">
        <v>602</v>
      </c>
      <c r="D293" s="4" t="s">
        <v>223</v>
      </c>
      <c r="F293" s="1">
        <v>1809751</v>
      </c>
      <c r="G293" s="1"/>
      <c r="H293" s="1">
        <v>0</v>
      </c>
      <c r="I293" s="1"/>
      <c r="J293" s="1">
        <v>3069525</v>
      </c>
      <c r="K293" s="1"/>
      <c r="L293" s="1">
        <v>168093</v>
      </c>
      <c r="M293" s="1"/>
      <c r="N293" s="1">
        <v>0</v>
      </c>
      <c r="O293" s="1"/>
      <c r="P293" s="1">
        <v>0</v>
      </c>
      <c r="Q293" s="1"/>
      <c r="R293" s="1">
        <v>34639</v>
      </c>
      <c r="S293" s="1"/>
      <c r="T293" s="1">
        <v>12174</v>
      </c>
      <c r="U293" s="1"/>
      <c r="V293" s="1">
        <v>47808</v>
      </c>
      <c r="W293" s="1"/>
      <c r="X293" s="1">
        <v>0</v>
      </c>
      <c r="Y293" s="1"/>
      <c r="Z293" s="1">
        <v>0</v>
      </c>
      <c r="AA293" s="1"/>
      <c r="AB293" s="1">
        <v>0</v>
      </c>
      <c r="AC293" s="1"/>
      <c r="AD293" s="1">
        <v>0</v>
      </c>
      <c r="AE293" s="1"/>
      <c r="AF293" s="1">
        <v>0</v>
      </c>
      <c r="AH293" s="4">
        <f t="shared" si="9"/>
        <v>5141990</v>
      </c>
    </row>
    <row r="294" spans="1:65" s="4" customFormat="1">
      <c r="A294" s="4">
        <v>34</v>
      </c>
      <c r="B294" s="4" t="s">
        <v>269</v>
      </c>
      <c r="D294" s="4" t="s">
        <v>63</v>
      </c>
      <c r="F294" s="6">
        <v>0</v>
      </c>
      <c r="G294" s="6"/>
      <c r="H294" s="6">
        <v>247946.76</v>
      </c>
      <c r="I294" s="6"/>
      <c r="J294" s="6">
        <v>0</v>
      </c>
      <c r="K294" s="6"/>
      <c r="L294" s="6">
        <v>7028.47</v>
      </c>
      <c r="M294" s="6"/>
      <c r="N294" s="6">
        <v>0</v>
      </c>
      <c r="O294" s="6"/>
      <c r="P294" s="6">
        <v>0</v>
      </c>
      <c r="Q294" s="6"/>
      <c r="R294" s="6">
        <v>4137.1000000000004</v>
      </c>
      <c r="S294" s="6"/>
      <c r="T294" s="6">
        <v>649.4</v>
      </c>
      <c r="U294" s="6"/>
      <c r="V294" s="6">
        <v>854.75</v>
      </c>
      <c r="W294" s="6"/>
      <c r="X294" s="6">
        <v>0</v>
      </c>
      <c r="Y294" s="6"/>
      <c r="Z294" s="6">
        <v>0</v>
      </c>
      <c r="AA294" s="6"/>
      <c r="AB294" s="6">
        <v>0</v>
      </c>
      <c r="AC294" s="6"/>
      <c r="AD294" s="6">
        <v>0</v>
      </c>
      <c r="AE294" s="6"/>
      <c r="AF294" s="6">
        <v>0</v>
      </c>
      <c r="AG294" s="6"/>
      <c r="AH294" s="6">
        <f>SUM(F294:AF294)</f>
        <v>260616.48</v>
      </c>
    </row>
    <row r="295" spans="1:65" s="4" customFormat="1">
      <c r="A295" s="4">
        <v>197</v>
      </c>
      <c r="B295" s="4" t="s">
        <v>270</v>
      </c>
      <c r="D295" s="4" t="s">
        <v>63</v>
      </c>
      <c r="F295" s="6">
        <v>834360.16</v>
      </c>
      <c r="G295" s="6"/>
      <c r="H295" s="6">
        <v>892694.17</v>
      </c>
      <c r="I295" s="6"/>
      <c r="J295" s="6">
        <v>96180.82</v>
      </c>
      <c r="K295" s="6"/>
      <c r="L295" s="6">
        <v>56299.39</v>
      </c>
      <c r="M295" s="6"/>
      <c r="N295" s="6">
        <v>0</v>
      </c>
      <c r="O295" s="6"/>
      <c r="P295" s="6">
        <v>0</v>
      </c>
      <c r="Q295" s="6"/>
      <c r="R295" s="6">
        <v>5488.09</v>
      </c>
      <c r="S295" s="6"/>
      <c r="T295" s="6">
        <v>1496.23</v>
      </c>
      <c r="U295" s="6"/>
      <c r="V295" s="6">
        <v>13853.23</v>
      </c>
      <c r="W295" s="6"/>
      <c r="X295" s="6">
        <v>2023.24</v>
      </c>
      <c r="Y295" s="6"/>
      <c r="Z295" s="6">
        <v>0</v>
      </c>
      <c r="AA295" s="6"/>
      <c r="AB295" s="6">
        <v>0</v>
      </c>
      <c r="AC295" s="6"/>
      <c r="AD295" s="6">
        <v>0</v>
      </c>
      <c r="AE295" s="6"/>
      <c r="AF295" s="6">
        <v>0</v>
      </c>
      <c r="AG295" s="6"/>
      <c r="AH295" s="6">
        <f>SUM(F295:AF295)</f>
        <v>1902395.33</v>
      </c>
    </row>
    <row r="296" spans="1:65" s="4" customFormat="1">
      <c r="A296" s="4">
        <v>156</v>
      </c>
      <c r="B296" s="35" t="s">
        <v>271</v>
      </c>
      <c r="C296" s="35"/>
      <c r="D296" s="35" t="s">
        <v>49</v>
      </c>
      <c r="E296" s="35"/>
      <c r="F296" s="6">
        <v>0</v>
      </c>
      <c r="G296" s="6"/>
      <c r="H296" s="6">
        <v>353691.79</v>
      </c>
      <c r="I296" s="6"/>
      <c r="J296" s="6">
        <v>0</v>
      </c>
      <c r="K296" s="6"/>
      <c r="L296" s="6">
        <v>5691.44</v>
      </c>
      <c r="M296" s="6"/>
      <c r="N296" s="6">
        <v>0</v>
      </c>
      <c r="O296" s="6"/>
      <c r="P296" s="6">
        <v>0</v>
      </c>
      <c r="Q296" s="6"/>
      <c r="R296" s="6">
        <v>3542.25</v>
      </c>
      <c r="S296" s="6"/>
      <c r="T296" s="6">
        <v>11150.92</v>
      </c>
      <c r="U296" s="6"/>
      <c r="V296" s="6">
        <v>20.02</v>
      </c>
      <c r="W296" s="6"/>
      <c r="X296" s="6">
        <v>0</v>
      </c>
      <c r="Y296" s="6"/>
      <c r="Z296" s="6">
        <v>0</v>
      </c>
      <c r="AA296" s="6"/>
      <c r="AB296" s="6">
        <v>0</v>
      </c>
      <c r="AC296" s="6"/>
      <c r="AD296" s="6">
        <v>0</v>
      </c>
      <c r="AE296" s="6"/>
      <c r="AF296" s="6">
        <v>0</v>
      </c>
      <c r="AG296" s="6"/>
      <c r="AH296" s="6">
        <f>SUM(F296:AF296)</f>
        <v>374096.42</v>
      </c>
    </row>
    <row r="297" spans="1:65" s="4" customFormat="1">
      <c r="A297" s="4">
        <v>91</v>
      </c>
      <c r="B297" s="4" t="s">
        <v>564</v>
      </c>
      <c r="D297" s="4" t="s">
        <v>90</v>
      </c>
      <c r="F297" s="1">
        <v>1825958</v>
      </c>
      <c r="G297" s="1"/>
      <c r="H297" s="1">
        <v>2621867</v>
      </c>
      <c r="I297" s="1"/>
      <c r="J297" s="1">
        <v>110703</v>
      </c>
      <c r="K297" s="1"/>
      <c r="L297" s="1">
        <v>246648</v>
      </c>
      <c r="M297" s="1"/>
      <c r="N297" s="1">
        <v>0</v>
      </c>
      <c r="O297" s="1"/>
      <c r="P297" s="1">
        <v>49673</v>
      </c>
      <c r="Q297" s="1"/>
      <c r="R297" s="1">
        <v>36105</v>
      </c>
      <c r="S297" s="1"/>
      <c r="T297" s="1">
        <v>848</v>
      </c>
      <c r="U297" s="1"/>
      <c r="V297" s="1">
        <v>19094</v>
      </c>
      <c r="W297" s="1"/>
      <c r="X297" s="1">
        <v>0</v>
      </c>
      <c r="Y297" s="1"/>
      <c r="Z297" s="1">
        <v>0</v>
      </c>
      <c r="AA297" s="1"/>
      <c r="AB297" s="1">
        <v>0</v>
      </c>
      <c r="AC297" s="1"/>
      <c r="AD297" s="1">
        <v>0</v>
      </c>
      <c r="AE297" s="1"/>
      <c r="AF297" s="1">
        <v>0</v>
      </c>
      <c r="AH297" s="4">
        <f t="shared" si="9"/>
        <v>4910896</v>
      </c>
    </row>
    <row r="298" spans="1:65" s="4" customFormat="1">
      <c r="A298" s="4">
        <v>81</v>
      </c>
      <c r="B298" s="4" t="s">
        <v>272</v>
      </c>
      <c r="D298" s="4" t="s">
        <v>63</v>
      </c>
      <c r="F298" s="6">
        <v>0</v>
      </c>
      <c r="G298" s="6"/>
      <c r="H298" s="6">
        <v>315467.5</v>
      </c>
      <c r="I298" s="6"/>
      <c r="J298" s="6">
        <v>0</v>
      </c>
      <c r="K298" s="6"/>
      <c r="L298" s="6">
        <v>5400.62</v>
      </c>
      <c r="M298" s="6"/>
      <c r="N298" s="6">
        <v>0</v>
      </c>
      <c r="O298" s="6"/>
      <c r="P298" s="6">
        <v>0</v>
      </c>
      <c r="Q298" s="6"/>
      <c r="R298" s="6">
        <v>5409</v>
      </c>
      <c r="S298" s="6"/>
      <c r="T298" s="6">
        <v>692.9</v>
      </c>
      <c r="U298" s="6"/>
      <c r="V298" s="6">
        <v>3804.83</v>
      </c>
      <c r="W298" s="6"/>
      <c r="X298" s="6">
        <v>0</v>
      </c>
      <c r="Y298" s="6"/>
      <c r="Z298" s="6">
        <v>0</v>
      </c>
      <c r="AA298" s="6"/>
      <c r="AB298" s="6">
        <v>0</v>
      </c>
      <c r="AC298" s="6"/>
      <c r="AD298" s="6">
        <v>0</v>
      </c>
      <c r="AE298" s="6"/>
      <c r="AF298" s="6">
        <v>0</v>
      </c>
      <c r="AG298" s="6"/>
      <c r="AH298" s="6">
        <f>SUM(F298:AF298)</f>
        <v>330774.85000000003</v>
      </c>
    </row>
    <row r="299" spans="1:65" s="4" customFormat="1">
      <c r="A299" s="4">
        <v>215</v>
      </c>
      <c r="B299" s="35" t="s">
        <v>462</v>
      </c>
      <c r="C299" s="35"/>
      <c r="D299" s="35" t="s">
        <v>13</v>
      </c>
      <c r="E299" s="35"/>
      <c r="F299" s="74">
        <v>783133.43</v>
      </c>
      <c r="G299" s="74"/>
      <c r="H299" s="74">
        <v>718295.32</v>
      </c>
      <c r="I299" s="74"/>
      <c r="J299" s="74">
        <v>0</v>
      </c>
      <c r="K299" s="74"/>
      <c r="L299" s="74">
        <v>28549.66</v>
      </c>
      <c r="M299" s="74"/>
      <c r="N299" s="74">
        <v>0</v>
      </c>
      <c r="O299" s="74"/>
      <c r="P299" s="74">
        <v>0</v>
      </c>
      <c r="Q299" s="74"/>
      <c r="R299" s="74">
        <v>545</v>
      </c>
      <c r="S299" s="74"/>
      <c r="T299" s="74">
        <v>3780.42</v>
      </c>
      <c r="U299" s="74"/>
      <c r="V299" s="74">
        <v>23243.75</v>
      </c>
      <c r="W299" s="74"/>
      <c r="X299" s="74">
        <v>1256.51</v>
      </c>
      <c r="Y299" s="74"/>
      <c r="Z299" s="74">
        <v>0</v>
      </c>
      <c r="AA299" s="74"/>
      <c r="AB299" s="74">
        <v>0</v>
      </c>
      <c r="AC299" s="74"/>
      <c r="AD299" s="74">
        <v>0</v>
      </c>
      <c r="AE299" s="74"/>
      <c r="AF299" s="74">
        <v>0</v>
      </c>
      <c r="AG299" s="74"/>
      <c r="AH299" s="74">
        <f>SUM(F299:AF299)</f>
        <v>1558804.0899999999</v>
      </c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</row>
    <row r="300" spans="1:65" s="4" customFormat="1" hidden="1">
      <c r="A300" s="4">
        <v>153</v>
      </c>
      <c r="B300" s="4" t="s">
        <v>273</v>
      </c>
      <c r="D300" s="4" t="s">
        <v>87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H300" s="4">
        <f t="shared" si="9"/>
        <v>0</v>
      </c>
    </row>
    <row r="301" spans="1:65" s="4" customFormat="1">
      <c r="A301" s="4">
        <v>216</v>
      </c>
      <c r="B301" s="4" t="s">
        <v>603</v>
      </c>
      <c r="D301" s="4" t="s">
        <v>202</v>
      </c>
      <c r="F301" s="6">
        <v>564727.64</v>
      </c>
      <c r="G301" s="6"/>
      <c r="H301" s="6">
        <v>951932.74</v>
      </c>
      <c r="I301" s="6"/>
      <c r="J301" s="6">
        <v>67872.11</v>
      </c>
      <c r="K301" s="6"/>
      <c r="L301" s="6">
        <v>29618.99</v>
      </c>
      <c r="M301" s="6"/>
      <c r="N301" s="6">
        <v>0</v>
      </c>
      <c r="O301" s="6"/>
      <c r="P301" s="6">
        <v>0</v>
      </c>
      <c r="Q301" s="6"/>
      <c r="R301" s="6">
        <v>22163.74</v>
      </c>
      <c r="S301" s="6"/>
      <c r="T301" s="6">
        <v>1011.99</v>
      </c>
      <c r="U301" s="6"/>
      <c r="V301" s="6">
        <v>30994.400000000001</v>
      </c>
      <c r="W301" s="6"/>
      <c r="X301" s="6">
        <v>0</v>
      </c>
      <c r="Y301" s="6"/>
      <c r="Z301" s="6">
        <v>0</v>
      </c>
      <c r="AA301" s="6"/>
      <c r="AB301" s="6">
        <v>0</v>
      </c>
      <c r="AC301" s="6"/>
      <c r="AD301" s="6">
        <v>0</v>
      </c>
      <c r="AE301" s="6"/>
      <c r="AF301" s="6">
        <v>0</v>
      </c>
      <c r="AG301" s="6"/>
      <c r="AH301" s="6">
        <f>SUM(F301:AF301)</f>
        <v>1668321.6099999999</v>
      </c>
    </row>
    <row r="302" spans="1:65" s="4" customFormat="1">
      <c r="A302" s="4">
        <v>169</v>
      </c>
      <c r="B302" s="4" t="s">
        <v>274</v>
      </c>
      <c r="D302" s="4" t="s">
        <v>13</v>
      </c>
      <c r="F302" s="1">
        <v>3249228</v>
      </c>
      <c r="G302" s="1"/>
      <c r="H302" s="1">
        <v>1779339</v>
      </c>
      <c r="I302" s="1"/>
      <c r="J302" s="1">
        <v>534171</v>
      </c>
      <c r="K302" s="1"/>
      <c r="L302" s="1">
        <v>116872</v>
      </c>
      <c r="M302" s="1"/>
      <c r="N302" s="1">
        <v>0</v>
      </c>
      <c r="O302" s="1"/>
      <c r="P302" s="1">
        <v>0</v>
      </c>
      <c r="Q302" s="1"/>
      <c r="R302" s="1">
        <v>3351</v>
      </c>
      <c r="S302" s="1"/>
      <c r="T302" s="1">
        <v>9338</v>
      </c>
      <c r="U302" s="1"/>
      <c r="V302" s="1">
        <v>73257</v>
      </c>
      <c r="W302" s="1"/>
      <c r="X302" s="1">
        <v>0</v>
      </c>
      <c r="Y302" s="1"/>
      <c r="Z302" s="1">
        <v>0</v>
      </c>
      <c r="AA302" s="1"/>
      <c r="AB302" s="1">
        <v>0</v>
      </c>
      <c r="AC302" s="1"/>
      <c r="AD302" s="1">
        <v>0</v>
      </c>
      <c r="AE302" s="1"/>
      <c r="AF302" s="1">
        <v>0</v>
      </c>
      <c r="AH302" s="4">
        <f t="shared" si="9"/>
        <v>5765556</v>
      </c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</row>
    <row r="303" spans="1:65" s="4" customFormat="1">
      <c r="A303" s="4">
        <v>147</v>
      </c>
      <c r="B303" s="35" t="s">
        <v>275</v>
      </c>
      <c r="C303" s="35"/>
      <c r="D303" s="35" t="s">
        <v>67</v>
      </c>
      <c r="E303" s="35"/>
      <c r="F303" s="6">
        <v>621906.16</v>
      </c>
      <c r="G303" s="6"/>
      <c r="H303" s="6">
        <v>569651.22</v>
      </c>
      <c r="I303" s="6"/>
      <c r="J303" s="6">
        <v>0</v>
      </c>
      <c r="K303" s="6"/>
      <c r="L303" s="6">
        <v>19015.150000000001</v>
      </c>
      <c r="M303" s="6"/>
      <c r="N303" s="6">
        <v>0</v>
      </c>
      <c r="O303" s="6"/>
      <c r="P303" s="6">
        <v>0</v>
      </c>
      <c r="Q303" s="6"/>
      <c r="R303" s="6">
        <v>5833.79</v>
      </c>
      <c r="S303" s="6"/>
      <c r="T303" s="6">
        <v>8166.15</v>
      </c>
      <c r="U303" s="6"/>
      <c r="V303" s="6">
        <v>1390.29</v>
      </c>
      <c r="W303" s="6"/>
      <c r="X303" s="6">
        <v>0</v>
      </c>
      <c r="Y303" s="6"/>
      <c r="Z303" s="6">
        <v>0</v>
      </c>
      <c r="AA303" s="6"/>
      <c r="AB303" s="6">
        <v>0</v>
      </c>
      <c r="AC303" s="6"/>
      <c r="AD303" s="6">
        <v>0</v>
      </c>
      <c r="AE303" s="6"/>
      <c r="AF303" s="6">
        <v>0</v>
      </c>
      <c r="AG303" s="6"/>
      <c r="AH303" s="6">
        <f>SUM(F303:AF303)</f>
        <v>1225962.7599999998</v>
      </c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</row>
    <row r="304" spans="1:65" s="4" customFormat="1">
      <c r="A304" s="4">
        <v>31</v>
      </c>
      <c r="B304" s="4" t="s">
        <v>604</v>
      </c>
      <c r="D304" s="4" t="s">
        <v>63</v>
      </c>
      <c r="F304" s="1">
        <v>1038897</v>
      </c>
      <c r="G304" s="1"/>
      <c r="H304" s="1">
        <v>1327132</v>
      </c>
      <c r="I304" s="1"/>
      <c r="J304" s="1">
        <v>1711</v>
      </c>
      <c r="K304" s="1"/>
      <c r="L304" s="1">
        <v>52604</v>
      </c>
      <c r="M304" s="1"/>
      <c r="N304" s="1">
        <v>0</v>
      </c>
      <c r="O304" s="1"/>
      <c r="P304" s="1">
        <v>2000</v>
      </c>
      <c r="Q304" s="1"/>
      <c r="R304" s="1">
        <v>111268</v>
      </c>
      <c r="S304" s="1"/>
      <c r="T304" s="1">
        <v>4772</v>
      </c>
      <c r="U304" s="1"/>
      <c r="V304" s="1">
        <v>4529</v>
      </c>
      <c r="W304" s="1"/>
      <c r="X304" s="1">
        <v>0</v>
      </c>
      <c r="Y304" s="1"/>
      <c r="Z304" s="1">
        <v>0</v>
      </c>
      <c r="AA304" s="1"/>
      <c r="AB304" s="1">
        <v>0</v>
      </c>
      <c r="AC304" s="1"/>
      <c r="AD304" s="1">
        <v>0</v>
      </c>
      <c r="AE304" s="1"/>
      <c r="AF304" s="1">
        <v>0</v>
      </c>
      <c r="AH304" s="4">
        <f t="shared" si="9"/>
        <v>2542913</v>
      </c>
    </row>
    <row r="305" spans="1:65" s="4" customFormat="1">
      <c r="A305" s="39">
        <v>92.1</v>
      </c>
      <c r="B305" s="4" t="s">
        <v>276</v>
      </c>
      <c r="D305" s="4" t="s">
        <v>79</v>
      </c>
      <c r="F305" s="6">
        <v>0</v>
      </c>
      <c r="G305" s="6"/>
      <c r="H305" s="6">
        <v>315656.05</v>
      </c>
      <c r="I305" s="6"/>
      <c r="J305" s="6">
        <v>3500</v>
      </c>
      <c r="K305" s="6"/>
      <c r="L305" s="6">
        <v>9473.56</v>
      </c>
      <c r="M305" s="6"/>
      <c r="N305" s="6">
        <v>0</v>
      </c>
      <c r="O305" s="6"/>
      <c r="P305" s="6">
        <v>0</v>
      </c>
      <c r="Q305" s="6"/>
      <c r="R305" s="6">
        <v>7602.62</v>
      </c>
      <c r="S305" s="6"/>
      <c r="T305" s="6">
        <v>1613.93</v>
      </c>
      <c r="U305" s="6"/>
      <c r="V305" s="6">
        <v>1076.76</v>
      </c>
      <c r="W305" s="6"/>
      <c r="X305" s="6">
        <v>0</v>
      </c>
      <c r="Y305" s="6"/>
      <c r="Z305" s="6">
        <v>0</v>
      </c>
      <c r="AA305" s="6"/>
      <c r="AB305" s="6">
        <v>0</v>
      </c>
      <c r="AC305" s="6"/>
      <c r="AD305" s="6">
        <v>0</v>
      </c>
      <c r="AE305" s="6"/>
      <c r="AF305" s="6">
        <v>0</v>
      </c>
      <c r="AG305" s="6"/>
      <c r="AH305" s="6">
        <f>SUM(F305:AF305)</f>
        <v>338922.92</v>
      </c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</row>
    <row r="306" spans="1:65" s="4" customFormat="1">
      <c r="A306" s="4">
        <v>76</v>
      </c>
      <c r="B306" s="4" t="s">
        <v>318</v>
      </c>
      <c r="D306" s="4" t="s">
        <v>68</v>
      </c>
      <c r="F306" s="6">
        <v>0</v>
      </c>
      <c r="G306" s="6"/>
      <c r="H306" s="6">
        <v>129765.26</v>
      </c>
      <c r="I306" s="6"/>
      <c r="J306" s="6">
        <v>71756.899999999994</v>
      </c>
      <c r="K306" s="6"/>
      <c r="L306" s="6">
        <v>1677</v>
      </c>
      <c r="M306" s="6"/>
      <c r="N306" s="6">
        <v>0</v>
      </c>
      <c r="O306" s="6"/>
      <c r="P306" s="6">
        <v>0</v>
      </c>
      <c r="Q306" s="6"/>
      <c r="R306" s="6">
        <v>1501.13</v>
      </c>
      <c r="S306" s="6"/>
      <c r="T306" s="6">
        <v>218.67</v>
      </c>
      <c r="U306" s="6"/>
      <c r="V306" s="6">
        <v>10248.18</v>
      </c>
      <c r="W306" s="6"/>
      <c r="X306" s="6">
        <v>290.55</v>
      </c>
      <c r="Y306" s="6"/>
      <c r="Z306" s="6">
        <v>0</v>
      </c>
      <c r="AA306" s="6"/>
      <c r="AB306" s="6">
        <v>0</v>
      </c>
      <c r="AC306" s="6"/>
      <c r="AD306" s="6">
        <v>0</v>
      </c>
      <c r="AE306" s="6"/>
      <c r="AF306" s="6">
        <v>0</v>
      </c>
      <c r="AG306" s="6"/>
      <c r="AH306" s="6">
        <f>SUM(F306:AF306)</f>
        <v>215457.68999999997</v>
      </c>
    </row>
    <row r="307" spans="1:65" s="4" customFormat="1">
      <c r="A307" s="4">
        <v>51</v>
      </c>
      <c r="B307" s="4" t="s">
        <v>277</v>
      </c>
      <c r="D307" s="4" t="s">
        <v>90</v>
      </c>
      <c r="F307" s="1">
        <v>6113964</v>
      </c>
      <c r="G307" s="1"/>
      <c r="H307" s="1">
        <v>0</v>
      </c>
      <c r="I307" s="1"/>
      <c r="J307" s="1">
        <v>3025083</v>
      </c>
      <c r="K307" s="1"/>
      <c r="L307" s="1">
        <v>295878</v>
      </c>
      <c r="M307" s="1"/>
      <c r="N307" s="1">
        <v>0</v>
      </c>
      <c r="O307" s="1"/>
      <c r="P307" s="1">
        <v>981410</v>
      </c>
      <c r="Q307" s="1"/>
      <c r="R307" s="1">
        <v>8062</v>
      </c>
      <c r="S307" s="1"/>
      <c r="T307" s="1">
        <v>9405</v>
      </c>
      <c r="U307" s="1"/>
      <c r="V307" s="1">
        <v>10689</v>
      </c>
      <c r="W307" s="1"/>
      <c r="X307" s="1">
        <v>0</v>
      </c>
      <c r="Y307" s="1"/>
      <c r="Z307" s="1">
        <v>0</v>
      </c>
      <c r="AA307" s="1"/>
      <c r="AB307" s="1">
        <v>0</v>
      </c>
      <c r="AC307" s="1"/>
      <c r="AD307" s="1">
        <v>0</v>
      </c>
      <c r="AE307" s="1"/>
      <c r="AF307" s="1">
        <v>0</v>
      </c>
      <c r="AH307" s="4">
        <f t="shared" si="9"/>
        <v>10444491</v>
      </c>
    </row>
    <row r="308" spans="1:65" s="4" customFormat="1">
      <c r="A308" s="4">
        <v>50</v>
      </c>
      <c r="B308" s="35" t="s">
        <v>463</v>
      </c>
      <c r="C308" s="35"/>
      <c r="D308" s="35" t="s">
        <v>53</v>
      </c>
      <c r="E308" s="35"/>
      <c r="F308" s="74">
        <v>391465.99</v>
      </c>
      <c r="G308" s="74"/>
      <c r="H308" s="74">
        <v>1141779.8700000001</v>
      </c>
      <c r="I308" s="74"/>
      <c r="J308" s="74">
        <v>59941.25</v>
      </c>
      <c r="K308" s="74"/>
      <c r="L308" s="74">
        <v>33476.65</v>
      </c>
      <c r="M308" s="74"/>
      <c r="N308" s="74">
        <v>0</v>
      </c>
      <c r="O308" s="74"/>
      <c r="P308" s="74">
        <v>0</v>
      </c>
      <c r="Q308" s="74"/>
      <c r="R308" s="74">
        <v>3712.11</v>
      </c>
      <c r="S308" s="74"/>
      <c r="T308" s="74">
        <v>1481.48</v>
      </c>
      <c r="U308" s="74"/>
      <c r="V308" s="74">
        <v>13938.41</v>
      </c>
      <c r="W308" s="74"/>
      <c r="X308" s="74">
        <v>0</v>
      </c>
      <c r="Y308" s="74"/>
      <c r="Z308" s="74">
        <v>0</v>
      </c>
      <c r="AA308" s="74"/>
      <c r="AB308" s="74">
        <v>0</v>
      </c>
      <c r="AC308" s="74"/>
      <c r="AD308" s="74">
        <v>0</v>
      </c>
      <c r="AE308" s="74"/>
      <c r="AF308" s="74">
        <v>0</v>
      </c>
      <c r="AG308" s="74"/>
      <c r="AH308" s="74">
        <f>SUM(F308:AF308)</f>
        <v>1645795.76</v>
      </c>
    </row>
    <row r="309" spans="1:65" s="4" customFormat="1">
      <c r="B309" s="35"/>
      <c r="C309" s="35"/>
      <c r="D309" s="35"/>
      <c r="E309" s="35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</row>
    <row r="310" spans="1:65" s="4" customFormat="1">
      <c r="A310" s="3"/>
      <c r="B310" s="3"/>
      <c r="C310" s="3"/>
      <c r="D310" s="3"/>
      <c r="E310" s="3"/>
      <c r="G310" s="3"/>
      <c r="H310" s="3"/>
      <c r="I310" s="3"/>
      <c r="J310" s="3"/>
      <c r="K310" s="3"/>
      <c r="L310" s="3"/>
      <c r="M310" s="3"/>
      <c r="N310" s="3"/>
      <c r="O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</row>
    <row r="311" spans="1:65" s="4" customForma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</row>
    <row r="312" spans="1:65" s="4" customForma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</row>
    <row r="313" spans="1:65" s="4" customForma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65" s="4" customForma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</row>
    <row r="315" spans="1:65" s="4" customForma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65" s="4" customForma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</row>
    <row r="317" spans="1:65" s="4" customForma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65" s="4" customFormat="1"/>
  </sheetData>
  <sortState ref="B19:AH271">
    <sortCondition ref="B19:B271"/>
  </sortState>
  <phoneticPr fontId="1" type="noConversion"/>
  <printOptions horizontalCentered="1"/>
  <pageMargins left="0.75" right="0.75" top="0.5" bottom="0.5" header="0" footer="0.3"/>
  <pageSetup scale="78" firstPageNumber="8" fitToWidth="2" fitToHeight="2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9" min="1" max="33" man="1"/>
    <brk id="167" min="1" max="33" man="1"/>
    <brk id="244" min="1" max="3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L314"/>
  <sheetViews>
    <sheetView view="pageBreakPreview" zoomScaleNormal="96" zoomScaleSheetLayoutView="100" workbookViewId="0">
      <pane xSplit="5" ySplit="18" topLeftCell="R19" activePane="bottomRight" state="frozen"/>
      <selection activeCell="H97" sqref="H97"/>
      <selection pane="topRight" activeCell="H97" sqref="H97"/>
      <selection pane="bottomLeft" activeCell="H97" sqref="H97"/>
      <selection pane="bottomRight" activeCell="H97" sqref="H97"/>
    </sheetView>
  </sheetViews>
  <sheetFormatPr defaultColWidth="9.140625" defaultRowHeight="12"/>
  <cols>
    <col min="1" max="1" width="0" style="3" hidden="1" customWidth="1"/>
    <col min="2" max="2" width="35" style="3" customWidth="1"/>
    <col min="3" max="3" width="1.28515625" style="3" customWidth="1"/>
    <col min="4" max="4" width="10.7109375" style="3" customWidth="1"/>
    <col min="5" max="5" width="1.28515625" style="3" customWidth="1"/>
    <col min="6" max="6" width="11" style="3" customWidth="1"/>
    <col min="7" max="7" width="1.28515625" style="3" customWidth="1"/>
    <col min="8" max="8" width="10.5703125" style="3" customWidth="1"/>
    <col min="9" max="9" width="1.28515625" style="3" customWidth="1"/>
    <col min="10" max="10" width="11.140625" style="3" customWidth="1"/>
    <col min="11" max="11" width="1.28515625" style="3" customWidth="1"/>
    <col min="12" max="12" width="11.140625" style="3" customWidth="1"/>
    <col min="13" max="13" width="1.28515625" style="3" customWidth="1"/>
    <col min="14" max="14" width="10.42578125" style="3" customWidth="1"/>
    <col min="15" max="15" width="1.28515625" style="3" hidden="1" customWidth="1"/>
    <col min="16" max="16" width="10.5703125" style="3" customWidth="1"/>
    <col min="17" max="17" width="1.28515625" style="3" customWidth="1"/>
    <col min="18" max="18" width="10.57031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42578125" style="3" customWidth="1"/>
    <col min="23" max="23" width="1.28515625" style="3" customWidth="1"/>
    <col min="24" max="24" width="10.5703125" style="3" customWidth="1"/>
    <col min="25" max="25" width="1.28515625" style="3" customWidth="1"/>
    <col min="26" max="26" width="11.28515625" style="3" customWidth="1"/>
    <col min="27" max="27" width="1.28515625" style="3" customWidth="1"/>
    <col min="28" max="28" width="10.85546875" style="3" customWidth="1"/>
    <col min="29" max="29" width="1.28515625" style="3" customWidth="1"/>
    <col min="30" max="30" width="10.5703125" style="3" customWidth="1"/>
    <col min="31" max="31" width="1.28515625" style="3" customWidth="1"/>
    <col min="32" max="32" width="10.7109375" style="3" customWidth="1"/>
    <col min="33" max="16384" width="9.140625" style="3"/>
  </cols>
  <sheetData>
    <row r="1" spans="1:64">
      <c r="B1" s="3" t="s">
        <v>517</v>
      </c>
    </row>
    <row r="2" spans="1:64">
      <c r="B2" s="3" t="s">
        <v>626</v>
      </c>
    </row>
    <row r="3" spans="1:64" ht="12" hidden="1" customHeight="1">
      <c r="B3" s="41" t="s">
        <v>5</v>
      </c>
    </row>
    <row r="4" spans="1:64" s="36" customFormat="1">
      <c r="H4" s="36" t="s">
        <v>6</v>
      </c>
    </row>
    <row r="5" spans="1:64" s="36" customFormat="1">
      <c r="F5" s="36" t="s">
        <v>319</v>
      </c>
      <c r="H5" s="36" t="s">
        <v>548</v>
      </c>
      <c r="J5" s="36" t="s">
        <v>628</v>
      </c>
      <c r="L5" s="36" t="s">
        <v>547</v>
      </c>
      <c r="X5" s="36" t="s">
        <v>326</v>
      </c>
      <c r="AD5" s="36" t="s">
        <v>0</v>
      </c>
    </row>
    <row r="6" spans="1:64" s="36" customFormat="1">
      <c r="F6" s="36" t="s">
        <v>320</v>
      </c>
      <c r="H6" s="36" t="s">
        <v>321</v>
      </c>
      <c r="J6" s="36" t="s">
        <v>629</v>
      </c>
      <c r="L6" s="36" t="s">
        <v>545</v>
      </c>
      <c r="N6" s="36" t="s">
        <v>631</v>
      </c>
      <c r="T6" s="36" t="s">
        <v>28</v>
      </c>
      <c r="V6" s="36" t="s">
        <v>324</v>
      </c>
      <c r="X6" s="36" t="s">
        <v>327</v>
      </c>
      <c r="AD6" s="36" t="s">
        <v>294</v>
      </c>
    </row>
    <row r="7" spans="1:64" s="36" customFormat="1" ht="12" customHeight="1">
      <c r="A7" s="36" t="s">
        <v>567</v>
      </c>
      <c r="B7" s="37" t="s">
        <v>6</v>
      </c>
      <c r="D7" s="37" t="s">
        <v>4</v>
      </c>
      <c r="F7" s="37" t="s">
        <v>27</v>
      </c>
      <c r="H7" s="37" t="s">
        <v>322</v>
      </c>
      <c r="I7" s="44"/>
      <c r="J7" s="45" t="s">
        <v>630</v>
      </c>
      <c r="L7" s="37" t="s">
        <v>546</v>
      </c>
      <c r="M7" s="44"/>
      <c r="N7" s="37" t="s">
        <v>632</v>
      </c>
      <c r="P7" s="37" t="s">
        <v>2</v>
      </c>
      <c r="R7" s="37" t="s">
        <v>0</v>
      </c>
      <c r="T7" s="37" t="s">
        <v>323</v>
      </c>
      <c r="V7" s="37" t="s">
        <v>325</v>
      </c>
      <c r="X7" s="37" t="s">
        <v>328</v>
      </c>
      <c r="Z7" s="37" t="s">
        <v>499</v>
      </c>
      <c r="AB7" s="37" t="s">
        <v>500</v>
      </c>
      <c r="AD7" s="37" t="s">
        <v>329</v>
      </c>
      <c r="AF7" s="45" t="s">
        <v>26</v>
      </c>
    </row>
    <row r="8" spans="1:64" s="36" customFormat="1" ht="12" hidden="1" customHeight="1">
      <c r="B8" s="79" t="s">
        <v>637</v>
      </c>
      <c r="C8" s="79"/>
      <c r="D8" s="79" t="s">
        <v>95</v>
      </c>
      <c r="F8" s="44"/>
      <c r="H8" s="44"/>
      <c r="I8" s="44"/>
      <c r="L8" s="44"/>
      <c r="M8" s="44"/>
      <c r="N8" s="44"/>
      <c r="P8" s="44"/>
      <c r="R8" s="44"/>
      <c r="T8" s="44"/>
      <c r="V8" s="44"/>
      <c r="X8" s="44"/>
      <c r="Z8" s="44"/>
      <c r="AB8" s="44"/>
      <c r="AD8" s="44"/>
      <c r="AF8" s="4">
        <f t="shared" ref="AF8:AF39" si="0">SUM(F8:AD8)</f>
        <v>0</v>
      </c>
    </row>
    <row r="9" spans="1:64" s="7" customFormat="1" hidden="1">
      <c r="A9" s="4">
        <v>75</v>
      </c>
      <c r="B9" s="3" t="s">
        <v>429</v>
      </c>
      <c r="C9" s="3"/>
      <c r="D9" s="3" t="s">
        <v>90</v>
      </c>
      <c r="E9" s="3"/>
      <c r="F9" s="4"/>
      <c r="G9" s="3"/>
      <c r="H9" s="4"/>
      <c r="I9" s="4"/>
      <c r="J9" s="4"/>
      <c r="K9" s="3"/>
      <c r="L9" s="4"/>
      <c r="M9" s="4"/>
      <c r="N9" s="4"/>
      <c r="O9" s="3"/>
      <c r="P9" s="4"/>
      <c r="Q9" s="3"/>
      <c r="R9" s="4"/>
      <c r="S9" s="3"/>
      <c r="T9" s="4"/>
      <c r="U9" s="3"/>
      <c r="V9" s="4"/>
      <c r="W9" s="3"/>
      <c r="X9" s="4"/>
      <c r="Y9" s="3"/>
      <c r="Z9" s="4"/>
      <c r="AA9" s="3"/>
      <c r="AB9" s="4"/>
      <c r="AC9" s="3"/>
      <c r="AD9" s="4"/>
      <c r="AE9" s="3"/>
      <c r="AF9" s="4">
        <f t="shared" si="0"/>
        <v>0</v>
      </c>
      <c r="AG9" s="46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1:64" hidden="1">
      <c r="A10" s="4">
        <v>80</v>
      </c>
      <c r="B10" s="3" t="s">
        <v>265</v>
      </c>
      <c r="D10" s="3" t="s">
        <v>90</v>
      </c>
      <c r="F10" s="4"/>
      <c r="H10" s="4"/>
      <c r="I10" s="4"/>
      <c r="J10" s="4"/>
      <c r="L10" s="4"/>
      <c r="M10" s="4"/>
      <c r="N10" s="4"/>
      <c r="P10" s="4"/>
      <c r="R10" s="4"/>
      <c r="T10" s="4"/>
      <c r="V10" s="4"/>
      <c r="X10" s="4"/>
      <c r="Z10" s="4"/>
      <c r="AB10" s="4"/>
      <c r="AD10" s="4"/>
      <c r="AF10" s="4">
        <f t="shared" si="0"/>
        <v>0</v>
      </c>
    </row>
    <row r="11" spans="1:64" hidden="1">
      <c r="A11" s="4">
        <v>117</v>
      </c>
      <c r="B11" s="3" t="s">
        <v>221</v>
      </c>
      <c r="D11" s="3" t="s">
        <v>168</v>
      </c>
      <c r="F11" s="4"/>
      <c r="H11" s="4"/>
      <c r="I11" s="4"/>
      <c r="J11" s="4"/>
      <c r="L11" s="4"/>
      <c r="M11" s="4"/>
      <c r="N11" s="4"/>
      <c r="P11" s="4"/>
      <c r="R11" s="4"/>
      <c r="T11" s="4"/>
      <c r="V11" s="4"/>
      <c r="X11" s="4"/>
      <c r="Z11" s="4"/>
      <c r="AB11" s="4"/>
      <c r="AD11" s="4"/>
      <c r="AF11" s="4">
        <f t="shared" si="0"/>
        <v>0</v>
      </c>
    </row>
    <row r="12" spans="1:64" s="7" customFormat="1" hidden="1">
      <c r="A12" s="4">
        <v>135</v>
      </c>
      <c r="B12" s="3" t="s">
        <v>435</v>
      </c>
      <c r="C12" s="3"/>
      <c r="D12" s="3" t="s">
        <v>39</v>
      </c>
      <c r="E12" s="3"/>
      <c r="F12" s="4"/>
      <c r="G12" s="3"/>
      <c r="H12" s="4"/>
      <c r="I12" s="4"/>
      <c r="J12" s="4"/>
      <c r="K12" s="3"/>
      <c r="L12" s="4"/>
      <c r="M12" s="4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  <c r="AE12" s="3"/>
      <c r="AF12" s="4">
        <f t="shared" si="0"/>
        <v>0</v>
      </c>
    </row>
    <row r="13" spans="1:64" hidden="1">
      <c r="A13" s="4">
        <v>152</v>
      </c>
      <c r="B13" s="3" t="s">
        <v>212</v>
      </c>
      <c r="D13" s="3" t="s">
        <v>213</v>
      </c>
      <c r="F13" s="4"/>
      <c r="H13" s="4"/>
      <c r="I13" s="4"/>
      <c r="J13" s="4"/>
      <c r="L13" s="4"/>
      <c r="M13" s="4"/>
      <c r="N13" s="4"/>
      <c r="P13" s="4"/>
      <c r="R13" s="4"/>
      <c r="T13" s="4"/>
      <c r="V13" s="4"/>
      <c r="X13" s="4"/>
      <c r="Z13" s="4"/>
      <c r="AB13" s="4"/>
      <c r="AD13" s="4"/>
      <c r="AF13" s="4">
        <f t="shared" si="0"/>
        <v>0</v>
      </c>
    </row>
    <row r="14" spans="1:64" hidden="1">
      <c r="A14" s="4">
        <v>180</v>
      </c>
      <c r="B14" s="3" t="s">
        <v>251</v>
      </c>
      <c r="D14" s="3" t="s">
        <v>104</v>
      </c>
      <c r="F14" s="4"/>
      <c r="H14" s="4"/>
      <c r="I14" s="4"/>
      <c r="J14" s="4"/>
      <c r="L14" s="4"/>
      <c r="M14" s="4"/>
      <c r="N14" s="4"/>
      <c r="P14" s="4"/>
      <c r="R14" s="4"/>
      <c r="T14" s="4"/>
      <c r="V14" s="4"/>
      <c r="X14" s="4"/>
      <c r="Z14" s="4"/>
      <c r="AB14" s="4"/>
      <c r="AD14" s="4"/>
      <c r="AF14" s="4">
        <f t="shared" si="0"/>
        <v>0</v>
      </c>
      <c r="AG14" s="4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4"/>
    </row>
    <row r="15" spans="1:64" hidden="1">
      <c r="A15" s="4">
        <v>185</v>
      </c>
      <c r="B15" s="3" t="s">
        <v>228</v>
      </c>
      <c r="D15" s="3" t="s">
        <v>227</v>
      </c>
      <c r="F15" s="4"/>
      <c r="H15" s="4"/>
      <c r="I15" s="4"/>
      <c r="J15" s="4"/>
      <c r="L15" s="4"/>
      <c r="M15" s="4"/>
      <c r="N15" s="4"/>
      <c r="P15" s="4"/>
      <c r="R15" s="4"/>
      <c r="T15" s="4"/>
      <c r="V15" s="4"/>
      <c r="X15" s="4"/>
      <c r="Z15" s="4"/>
      <c r="AB15" s="4"/>
      <c r="AD15" s="4"/>
      <c r="AF15" s="4">
        <f t="shared" si="0"/>
        <v>0</v>
      </c>
    </row>
    <row r="16" spans="1:64" hidden="1">
      <c r="A16" s="4">
        <v>189</v>
      </c>
      <c r="B16" s="3" t="s">
        <v>443</v>
      </c>
      <c r="D16" s="3" t="s">
        <v>234</v>
      </c>
      <c r="F16" s="4"/>
      <c r="H16" s="4"/>
      <c r="I16" s="4"/>
      <c r="J16" s="4"/>
      <c r="L16" s="4"/>
      <c r="M16" s="4"/>
      <c r="N16" s="4"/>
      <c r="P16" s="4"/>
      <c r="R16" s="4"/>
      <c r="T16" s="4"/>
      <c r="V16" s="4"/>
      <c r="X16" s="4"/>
      <c r="Z16" s="4"/>
      <c r="AB16" s="4"/>
      <c r="AD16" s="4"/>
      <c r="AF16" s="4">
        <f t="shared" si="0"/>
        <v>0</v>
      </c>
    </row>
    <row r="17" spans="1:64" hidden="1">
      <c r="A17" s="4">
        <v>233</v>
      </c>
      <c r="B17" s="35" t="s">
        <v>450</v>
      </c>
      <c r="C17" s="35"/>
      <c r="D17" s="35" t="s">
        <v>494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4">
        <f t="shared" si="0"/>
        <v>0</v>
      </c>
    </row>
    <row r="18" spans="1:64" hidden="1">
      <c r="A18" s="4">
        <v>234</v>
      </c>
      <c r="B18" s="3" t="s">
        <v>199</v>
      </c>
      <c r="D18" s="3" t="s">
        <v>24</v>
      </c>
      <c r="F18" s="4"/>
      <c r="H18" s="4"/>
      <c r="I18" s="4"/>
      <c r="J18" s="4"/>
      <c r="L18" s="4"/>
      <c r="M18" s="4"/>
      <c r="N18" s="4"/>
      <c r="P18" s="4"/>
      <c r="R18" s="4"/>
      <c r="T18" s="4"/>
      <c r="V18" s="4"/>
      <c r="X18" s="4"/>
      <c r="Z18" s="4"/>
      <c r="AB18" s="4"/>
      <c r="AD18" s="4"/>
      <c r="AF18" s="4">
        <f t="shared" si="0"/>
        <v>0</v>
      </c>
      <c r="AG18" s="47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4"/>
    </row>
    <row r="19" spans="1:64" s="7" customFormat="1">
      <c r="A19" s="7">
        <v>95</v>
      </c>
      <c r="B19" s="7" t="s">
        <v>71</v>
      </c>
      <c r="D19" s="7" t="s">
        <v>59</v>
      </c>
      <c r="F19" s="75">
        <v>0</v>
      </c>
      <c r="G19" s="75"/>
      <c r="H19" s="75">
        <v>264029.84999999998</v>
      </c>
      <c r="I19" s="75"/>
      <c r="J19" s="75">
        <v>0</v>
      </c>
      <c r="K19" s="75"/>
      <c r="L19" s="75">
        <v>0</v>
      </c>
      <c r="M19" s="75"/>
      <c r="N19" s="75">
        <v>0</v>
      </c>
      <c r="O19" s="75"/>
      <c r="P19" s="75">
        <v>0</v>
      </c>
      <c r="Q19" s="75"/>
      <c r="R19" s="75">
        <v>0</v>
      </c>
      <c r="S19" s="75"/>
      <c r="T19" s="75">
        <v>0</v>
      </c>
      <c r="U19" s="75"/>
      <c r="V19" s="75">
        <v>0</v>
      </c>
      <c r="W19" s="75"/>
      <c r="X19" s="75">
        <v>0</v>
      </c>
      <c r="Y19" s="75"/>
      <c r="Z19" s="75">
        <v>236.5</v>
      </c>
      <c r="AA19" s="75"/>
      <c r="AB19" s="75">
        <v>0</v>
      </c>
      <c r="AC19" s="75"/>
      <c r="AD19" s="75">
        <v>1</v>
      </c>
      <c r="AE19" s="75"/>
      <c r="AF19" s="75">
        <f t="shared" si="0"/>
        <v>264267.34999999998</v>
      </c>
      <c r="AG19" s="46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</row>
    <row r="20" spans="1:64">
      <c r="A20" s="4">
        <v>1</v>
      </c>
      <c r="B20" s="3" t="s">
        <v>72</v>
      </c>
      <c r="D20" s="3" t="s">
        <v>38</v>
      </c>
      <c r="F20" s="6">
        <v>0</v>
      </c>
      <c r="G20" s="6"/>
      <c r="H20" s="6">
        <v>735016.18</v>
      </c>
      <c r="I20" s="6"/>
      <c r="J20" s="6">
        <v>0</v>
      </c>
      <c r="K20" s="6"/>
      <c r="L20" s="6">
        <v>0</v>
      </c>
      <c r="M20" s="6"/>
      <c r="N20" s="6">
        <v>0</v>
      </c>
      <c r="O20" s="6"/>
      <c r="P20" s="6">
        <v>0</v>
      </c>
      <c r="Q20" s="6"/>
      <c r="R20" s="6">
        <v>0</v>
      </c>
      <c r="S20" s="6"/>
      <c r="T20" s="6">
        <v>3158</v>
      </c>
      <c r="U20" s="6"/>
      <c r="V20" s="6">
        <v>0</v>
      </c>
      <c r="W20" s="6"/>
      <c r="X20" s="6">
        <v>0</v>
      </c>
      <c r="Y20" s="6"/>
      <c r="Z20" s="6">
        <v>28823.26</v>
      </c>
      <c r="AA20" s="6"/>
      <c r="AB20" s="6">
        <v>0</v>
      </c>
      <c r="AC20" s="6"/>
      <c r="AD20" s="6">
        <v>0</v>
      </c>
      <c r="AE20" s="6"/>
      <c r="AF20" s="73">
        <f t="shared" si="0"/>
        <v>766997.44000000006</v>
      </c>
    </row>
    <row r="21" spans="1:64">
      <c r="A21" s="4">
        <v>216</v>
      </c>
      <c r="B21" s="42" t="s">
        <v>427</v>
      </c>
      <c r="C21" s="42"/>
      <c r="D21" s="42" t="s">
        <v>20</v>
      </c>
      <c r="E21" s="42"/>
      <c r="F21" s="1">
        <v>878136</v>
      </c>
      <c r="G21" s="1"/>
      <c r="H21" s="1">
        <v>11809159</v>
      </c>
      <c r="I21" s="1"/>
      <c r="J21" s="1">
        <v>3807632</v>
      </c>
      <c r="K21" s="1"/>
      <c r="L21" s="1">
        <v>4576110</v>
      </c>
      <c r="M21" s="1"/>
      <c r="N21" s="1">
        <v>2466794</v>
      </c>
      <c r="O21" s="1"/>
      <c r="P21" s="1">
        <v>0</v>
      </c>
      <c r="Q21" s="1"/>
      <c r="R21" s="1">
        <v>0</v>
      </c>
      <c r="S21" s="1"/>
      <c r="T21" s="1">
        <v>484784</v>
      </c>
      <c r="U21" s="1"/>
      <c r="V21" s="1">
        <v>0</v>
      </c>
      <c r="W21" s="1"/>
      <c r="X21" s="1">
        <v>0</v>
      </c>
      <c r="Y21" s="1"/>
      <c r="Z21" s="1">
        <v>30095</v>
      </c>
      <c r="AA21" s="1"/>
      <c r="AB21" s="1">
        <v>24000</v>
      </c>
      <c r="AC21" s="1"/>
      <c r="AD21" s="1">
        <v>0</v>
      </c>
      <c r="AE21" s="15"/>
      <c r="AF21" s="77">
        <f t="shared" si="0"/>
        <v>24076710</v>
      </c>
      <c r="AG21" s="47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4"/>
    </row>
    <row r="22" spans="1:64">
      <c r="A22" s="4">
        <v>131</v>
      </c>
      <c r="B22" s="35" t="s">
        <v>504</v>
      </c>
      <c r="C22" s="35"/>
      <c r="D22" s="35" t="s">
        <v>481</v>
      </c>
      <c r="E22" s="35"/>
      <c r="F22" s="6">
        <v>0</v>
      </c>
      <c r="G22" s="6"/>
      <c r="H22" s="6">
        <v>285534.67</v>
      </c>
      <c r="I22" s="6"/>
      <c r="J22" s="6">
        <v>0</v>
      </c>
      <c r="K22" s="6"/>
      <c r="L22" s="6">
        <v>0</v>
      </c>
      <c r="M22" s="6"/>
      <c r="N22" s="6">
        <v>0</v>
      </c>
      <c r="O22" s="6"/>
      <c r="P22" s="6">
        <v>0</v>
      </c>
      <c r="Q22" s="6"/>
      <c r="R22" s="6">
        <v>0</v>
      </c>
      <c r="S22" s="6"/>
      <c r="T22" s="6">
        <v>0</v>
      </c>
      <c r="U22" s="6"/>
      <c r="V22" s="6">
        <v>0</v>
      </c>
      <c r="W22" s="6"/>
      <c r="X22" s="6">
        <v>0</v>
      </c>
      <c r="Y22" s="6"/>
      <c r="Z22" s="6">
        <v>0</v>
      </c>
      <c r="AA22" s="6"/>
      <c r="AB22" s="6">
        <v>0</v>
      </c>
      <c r="AC22" s="6"/>
      <c r="AD22" s="6">
        <v>0</v>
      </c>
      <c r="AE22" s="6"/>
      <c r="AF22" s="73">
        <f t="shared" si="0"/>
        <v>285534.67</v>
      </c>
    </row>
    <row r="23" spans="1:64">
      <c r="A23" s="4">
        <v>96</v>
      </c>
      <c r="B23" s="3" t="s">
        <v>73</v>
      </c>
      <c r="D23" s="3" t="s">
        <v>59</v>
      </c>
      <c r="F23" s="6">
        <v>0</v>
      </c>
      <c r="G23" s="6"/>
      <c r="H23" s="6">
        <v>63176.79</v>
      </c>
      <c r="I23" s="6"/>
      <c r="J23" s="6">
        <v>0</v>
      </c>
      <c r="K23" s="6"/>
      <c r="L23" s="6">
        <v>0</v>
      </c>
      <c r="M23" s="6"/>
      <c r="N23" s="6">
        <v>0</v>
      </c>
      <c r="O23" s="6"/>
      <c r="P23" s="6">
        <v>0</v>
      </c>
      <c r="Q23" s="6"/>
      <c r="R23" s="6">
        <v>0</v>
      </c>
      <c r="S23" s="6"/>
      <c r="T23" s="6">
        <v>0</v>
      </c>
      <c r="U23" s="6"/>
      <c r="V23" s="6">
        <v>0</v>
      </c>
      <c r="W23" s="6"/>
      <c r="X23" s="6">
        <v>0</v>
      </c>
      <c r="Y23" s="6"/>
      <c r="Z23" s="6">
        <v>0</v>
      </c>
      <c r="AA23" s="6"/>
      <c r="AB23" s="6">
        <v>0</v>
      </c>
      <c r="AC23" s="6"/>
      <c r="AD23" s="6">
        <v>31.29</v>
      </c>
      <c r="AE23" s="6"/>
      <c r="AF23" s="73">
        <f t="shared" si="0"/>
        <v>63208.08</v>
      </c>
      <c r="AG23" s="47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4"/>
    </row>
    <row r="24" spans="1:64">
      <c r="A24" s="4">
        <v>140</v>
      </c>
      <c r="B24" s="3" t="s">
        <v>74</v>
      </c>
      <c r="D24" s="3" t="s">
        <v>55</v>
      </c>
      <c r="F24" s="76">
        <v>0</v>
      </c>
      <c r="G24" s="76"/>
      <c r="H24" s="76">
        <v>1077074.31</v>
      </c>
      <c r="I24" s="76"/>
      <c r="J24" s="76">
        <v>0</v>
      </c>
      <c r="K24" s="76"/>
      <c r="L24" s="76">
        <v>0</v>
      </c>
      <c r="M24" s="76"/>
      <c r="N24" s="76">
        <v>0</v>
      </c>
      <c r="O24" s="76"/>
      <c r="P24" s="76">
        <v>0</v>
      </c>
      <c r="Q24" s="76"/>
      <c r="R24" s="76">
        <v>0</v>
      </c>
      <c r="S24" s="76"/>
      <c r="T24" s="76">
        <v>29532.9</v>
      </c>
      <c r="U24" s="76"/>
      <c r="V24" s="76">
        <v>0</v>
      </c>
      <c r="W24" s="76"/>
      <c r="X24" s="76">
        <v>0</v>
      </c>
      <c r="Y24" s="76"/>
      <c r="Z24" s="76">
        <v>0</v>
      </c>
      <c r="AA24" s="76"/>
      <c r="AB24" s="76">
        <v>0</v>
      </c>
      <c r="AC24" s="76"/>
      <c r="AD24" s="76">
        <v>0</v>
      </c>
      <c r="AE24" s="76"/>
      <c r="AF24" s="73">
        <f t="shared" si="0"/>
        <v>1106607.21</v>
      </c>
    </row>
    <row r="25" spans="1:64" hidden="1">
      <c r="A25" s="4">
        <v>208</v>
      </c>
      <c r="B25" s="3" t="s">
        <v>75</v>
      </c>
      <c r="D25" s="3" t="s">
        <v>76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4"/>
      <c r="AF25" s="77">
        <f t="shared" si="0"/>
        <v>0</v>
      </c>
      <c r="AG25" s="47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4"/>
    </row>
    <row r="26" spans="1:64">
      <c r="A26" s="4">
        <v>8</v>
      </c>
      <c r="B26" s="3" t="s">
        <v>77</v>
      </c>
      <c r="D26" s="3" t="s">
        <v>41</v>
      </c>
      <c r="F26" s="76">
        <v>0</v>
      </c>
      <c r="G26" s="76"/>
      <c r="H26" s="76">
        <v>269686.75</v>
      </c>
      <c r="I26" s="76"/>
      <c r="J26" s="76">
        <v>0</v>
      </c>
      <c r="K26" s="76"/>
      <c r="L26" s="76">
        <v>0</v>
      </c>
      <c r="M26" s="76"/>
      <c r="N26" s="76">
        <v>0</v>
      </c>
      <c r="O26" s="76"/>
      <c r="P26" s="76">
        <v>0</v>
      </c>
      <c r="Q26" s="76"/>
      <c r="R26" s="76">
        <v>0</v>
      </c>
      <c r="S26" s="76"/>
      <c r="T26" s="76">
        <v>0</v>
      </c>
      <c r="U26" s="76"/>
      <c r="V26" s="76">
        <v>0</v>
      </c>
      <c r="W26" s="76"/>
      <c r="X26" s="76">
        <v>0</v>
      </c>
      <c r="Y26" s="76"/>
      <c r="Z26" s="76">
        <v>0</v>
      </c>
      <c r="AA26" s="76"/>
      <c r="AB26" s="76">
        <v>0</v>
      </c>
      <c r="AC26" s="76"/>
      <c r="AD26" s="76">
        <v>0</v>
      </c>
      <c r="AE26" s="76"/>
      <c r="AF26" s="73">
        <f t="shared" si="0"/>
        <v>269686.75</v>
      </c>
      <c r="AG26" s="47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4"/>
    </row>
    <row r="27" spans="1:64">
      <c r="A27" s="4">
        <v>58</v>
      </c>
      <c r="B27" s="3" t="s">
        <v>78</v>
      </c>
      <c r="D27" s="3" t="s">
        <v>79</v>
      </c>
      <c r="F27" s="6">
        <v>0</v>
      </c>
      <c r="G27" s="6"/>
      <c r="H27" s="6">
        <v>274851.34000000003</v>
      </c>
      <c r="I27" s="6"/>
      <c r="J27" s="6">
        <v>0</v>
      </c>
      <c r="K27" s="6"/>
      <c r="L27" s="6">
        <v>0</v>
      </c>
      <c r="M27" s="6"/>
      <c r="N27" s="6">
        <v>0</v>
      </c>
      <c r="O27" s="6"/>
      <c r="P27" s="6">
        <v>0</v>
      </c>
      <c r="Q27" s="6"/>
      <c r="R27" s="6">
        <v>0</v>
      </c>
      <c r="S27" s="6"/>
      <c r="T27" s="6">
        <v>34133.370000000003</v>
      </c>
      <c r="U27" s="6"/>
      <c r="V27" s="6">
        <v>0</v>
      </c>
      <c r="W27" s="6"/>
      <c r="X27" s="6">
        <v>0</v>
      </c>
      <c r="Y27" s="6"/>
      <c r="Z27" s="6">
        <v>0</v>
      </c>
      <c r="AA27" s="6"/>
      <c r="AB27" s="6">
        <v>0</v>
      </c>
      <c r="AC27" s="6"/>
      <c r="AD27" s="6">
        <v>0</v>
      </c>
      <c r="AE27" s="6"/>
      <c r="AF27" s="73">
        <f t="shared" si="0"/>
        <v>308984.71000000002</v>
      </c>
    </row>
    <row r="28" spans="1:64">
      <c r="A28" s="4">
        <v>82</v>
      </c>
      <c r="B28" s="3" t="s">
        <v>296</v>
      </c>
      <c r="D28" s="3" t="s">
        <v>40</v>
      </c>
      <c r="F28" s="6">
        <v>0</v>
      </c>
      <c r="G28" s="6"/>
      <c r="H28" s="6">
        <v>349980.22</v>
      </c>
      <c r="I28" s="6"/>
      <c r="J28" s="6">
        <v>0</v>
      </c>
      <c r="K28" s="6"/>
      <c r="L28" s="6">
        <v>0</v>
      </c>
      <c r="M28" s="6"/>
      <c r="N28" s="6">
        <v>0</v>
      </c>
      <c r="O28" s="6"/>
      <c r="P28" s="6">
        <v>0</v>
      </c>
      <c r="Q28" s="6"/>
      <c r="R28" s="6">
        <v>0</v>
      </c>
      <c r="S28" s="6"/>
      <c r="T28" s="6">
        <v>1642.5</v>
      </c>
      <c r="U28" s="6"/>
      <c r="V28" s="6">
        <v>0</v>
      </c>
      <c r="W28" s="6"/>
      <c r="X28" s="6">
        <v>0</v>
      </c>
      <c r="Y28" s="6"/>
      <c r="Z28" s="6">
        <v>0</v>
      </c>
      <c r="AA28" s="6"/>
      <c r="AB28" s="6">
        <v>0</v>
      </c>
      <c r="AC28" s="6"/>
      <c r="AD28" s="6">
        <v>0</v>
      </c>
      <c r="AE28" s="6"/>
      <c r="AF28" s="73">
        <f t="shared" si="0"/>
        <v>351622.72</v>
      </c>
    </row>
    <row r="29" spans="1:64">
      <c r="A29" s="4">
        <v>6</v>
      </c>
      <c r="B29" s="3" t="s">
        <v>80</v>
      </c>
      <c r="D29" s="3" t="s">
        <v>81</v>
      </c>
      <c r="F29" s="1">
        <v>116260</v>
      </c>
      <c r="G29" s="1"/>
      <c r="H29" s="1">
        <v>731789</v>
      </c>
      <c r="I29" s="1"/>
      <c r="J29" s="1">
        <v>157244</v>
      </c>
      <c r="K29" s="1"/>
      <c r="L29" s="1">
        <v>195485</v>
      </c>
      <c r="M29" s="1"/>
      <c r="N29" s="1">
        <v>193954</v>
      </c>
      <c r="O29" s="1"/>
      <c r="P29" s="1">
        <v>0</v>
      </c>
      <c r="Q29" s="1"/>
      <c r="R29" s="1">
        <v>0</v>
      </c>
      <c r="S29" s="1"/>
      <c r="T29" s="1">
        <v>0</v>
      </c>
      <c r="U29" s="1"/>
      <c r="V29" s="1">
        <v>0</v>
      </c>
      <c r="W29" s="1"/>
      <c r="X29" s="1">
        <v>0</v>
      </c>
      <c r="Y29" s="1"/>
      <c r="Z29" s="1">
        <v>0</v>
      </c>
      <c r="AA29" s="1"/>
      <c r="AB29" s="1">
        <v>0</v>
      </c>
      <c r="AC29" s="1"/>
      <c r="AD29" s="1">
        <v>0</v>
      </c>
      <c r="AE29" s="4"/>
      <c r="AF29" s="77">
        <f t="shared" si="0"/>
        <v>1394732</v>
      </c>
    </row>
    <row r="30" spans="1:64">
      <c r="A30" s="4">
        <v>9</v>
      </c>
      <c r="B30" s="35" t="s">
        <v>331</v>
      </c>
      <c r="C30" s="35"/>
      <c r="D30" s="35" t="s">
        <v>464</v>
      </c>
      <c r="E30" s="35"/>
      <c r="F30" s="6">
        <v>0</v>
      </c>
      <c r="G30" s="6"/>
      <c r="H30" s="6">
        <v>1315446.03</v>
      </c>
      <c r="I30" s="6"/>
      <c r="J30" s="6">
        <v>0</v>
      </c>
      <c r="K30" s="6"/>
      <c r="L30" s="6">
        <v>0</v>
      </c>
      <c r="M30" s="6"/>
      <c r="N30" s="6">
        <v>0</v>
      </c>
      <c r="O30" s="6"/>
      <c r="P30" s="6">
        <v>0</v>
      </c>
      <c r="Q30" s="6"/>
      <c r="R30" s="6">
        <v>0</v>
      </c>
      <c r="S30" s="6"/>
      <c r="T30" s="6">
        <v>0</v>
      </c>
      <c r="U30" s="6"/>
      <c r="V30" s="6">
        <v>0</v>
      </c>
      <c r="W30" s="6"/>
      <c r="X30" s="6">
        <v>0</v>
      </c>
      <c r="Y30" s="6"/>
      <c r="Z30" s="6">
        <v>0</v>
      </c>
      <c r="AA30" s="6"/>
      <c r="AB30" s="6">
        <v>0</v>
      </c>
      <c r="AC30" s="6"/>
      <c r="AD30" s="6">
        <v>0</v>
      </c>
      <c r="AE30" s="6"/>
      <c r="AF30" s="73">
        <f t="shared" si="0"/>
        <v>1315446.03</v>
      </c>
      <c r="AG30" s="4"/>
    </row>
    <row r="31" spans="1:64">
      <c r="A31" s="4"/>
      <c r="B31" s="35" t="s">
        <v>634</v>
      </c>
      <c r="C31" s="35"/>
      <c r="D31" s="35" t="s">
        <v>208</v>
      </c>
      <c r="E31" s="35"/>
      <c r="F31" s="6">
        <v>0</v>
      </c>
      <c r="G31" s="6"/>
      <c r="H31" s="6">
        <v>1595619.4</v>
      </c>
      <c r="I31" s="6"/>
      <c r="J31" s="6">
        <v>0</v>
      </c>
      <c r="K31" s="6"/>
      <c r="L31" s="6">
        <v>0</v>
      </c>
      <c r="M31" s="6"/>
      <c r="N31" s="6">
        <v>0</v>
      </c>
      <c r="O31" s="6"/>
      <c r="P31" s="6">
        <v>0</v>
      </c>
      <c r="Q31" s="6"/>
      <c r="R31" s="6">
        <v>0</v>
      </c>
      <c r="S31" s="6"/>
      <c r="T31" s="6">
        <v>0</v>
      </c>
      <c r="U31" s="6"/>
      <c r="V31" s="6">
        <v>0</v>
      </c>
      <c r="W31" s="6"/>
      <c r="X31" s="6">
        <v>0</v>
      </c>
      <c r="Y31" s="6"/>
      <c r="Z31" s="6">
        <v>0</v>
      </c>
      <c r="AA31" s="6"/>
      <c r="AB31" s="6">
        <v>0</v>
      </c>
      <c r="AC31" s="6"/>
      <c r="AD31" s="6">
        <v>0</v>
      </c>
      <c r="AE31" s="6"/>
      <c r="AF31" s="73">
        <f t="shared" si="0"/>
        <v>1595619.4</v>
      </c>
      <c r="AG31" s="4"/>
    </row>
    <row r="32" spans="1:64">
      <c r="A32" s="4">
        <v>17</v>
      </c>
      <c r="B32" s="35" t="s">
        <v>582</v>
      </c>
      <c r="C32" s="35"/>
      <c r="D32" s="35" t="s">
        <v>466</v>
      </c>
      <c r="E32" s="35"/>
      <c r="F32" s="6">
        <v>0</v>
      </c>
      <c r="G32" s="6"/>
      <c r="H32" s="6">
        <v>915863.33</v>
      </c>
      <c r="I32" s="6"/>
      <c r="J32" s="6">
        <v>0</v>
      </c>
      <c r="K32" s="6"/>
      <c r="L32" s="6">
        <v>0</v>
      </c>
      <c r="M32" s="6"/>
      <c r="N32" s="6">
        <v>0</v>
      </c>
      <c r="O32" s="6"/>
      <c r="P32" s="6">
        <v>0</v>
      </c>
      <c r="Q32" s="6"/>
      <c r="R32" s="6">
        <v>0</v>
      </c>
      <c r="S32" s="6"/>
      <c r="T32" s="6">
        <v>3346.08</v>
      </c>
      <c r="U32" s="6"/>
      <c r="V32" s="6">
        <v>0</v>
      </c>
      <c r="W32" s="6"/>
      <c r="X32" s="6">
        <v>0</v>
      </c>
      <c r="Y32" s="6"/>
      <c r="Z32" s="6">
        <v>0</v>
      </c>
      <c r="AA32" s="6"/>
      <c r="AB32" s="6">
        <v>0</v>
      </c>
      <c r="AC32" s="6"/>
      <c r="AD32" s="6">
        <v>0</v>
      </c>
      <c r="AE32" s="6"/>
      <c r="AF32" s="73">
        <f t="shared" si="0"/>
        <v>919209.40999999992</v>
      </c>
    </row>
    <row r="33" spans="1:64">
      <c r="A33" s="4">
        <v>141</v>
      </c>
      <c r="B33" s="3" t="s">
        <v>82</v>
      </c>
      <c r="D33" s="3" t="s">
        <v>55</v>
      </c>
      <c r="F33" s="1">
        <v>127379</v>
      </c>
      <c r="G33" s="1"/>
      <c r="H33" s="1">
        <v>1144997</v>
      </c>
      <c r="I33" s="1"/>
      <c r="J33" s="1">
        <v>118285</v>
      </c>
      <c r="K33" s="1"/>
      <c r="L33" s="1">
        <v>253825</v>
      </c>
      <c r="M33" s="1"/>
      <c r="N33" s="1">
        <v>518447</v>
      </c>
      <c r="O33" s="1"/>
      <c r="P33" s="1">
        <v>0</v>
      </c>
      <c r="Q33" s="1"/>
      <c r="R33" s="1">
        <v>0</v>
      </c>
      <c r="S33" s="1"/>
      <c r="T33" s="1">
        <v>0</v>
      </c>
      <c r="U33" s="1"/>
      <c r="V33" s="1">
        <v>0</v>
      </c>
      <c r="W33" s="1"/>
      <c r="X33" s="1">
        <v>0</v>
      </c>
      <c r="Y33" s="1"/>
      <c r="Z33" s="1">
        <v>0</v>
      </c>
      <c r="AA33" s="1"/>
      <c r="AB33" s="1">
        <v>0</v>
      </c>
      <c r="AC33" s="1"/>
      <c r="AD33" s="1">
        <v>0</v>
      </c>
      <c r="AE33" s="4"/>
      <c r="AF33" s="77">
        <f t="shared" si="0"/>
        <v>2162933</v>
      </c>
    </row>
    <row r="34" spans="1:64">
      <c r="A34" s="4">
        <v>217</v>
      </c>
      <c r="B34" s="3" t="s">
        <v>353</v>
      </c>
      <c r="D34" s="4" t="s">
        <v>20</v>
      </c>
      <c r="F34" s="6">
        <v>51211.75</v>
      </c>
      <c r="G34" s="6"/>
      <c r="H34" s="6">
        <v>816080</v>
      </c>
      <c r="I34" s="6"/>
      <c r="J34" s="6">
        <v>133344.24</v>
      </c>
      <c r="K34" s="6"/>
      <c r="L34" s="6">
        <v>92412.86</v>
      </c>
      <c r="M34" s="6"/>
      <c r="N34" s="6">
        <v>54719.33</v>
      </c>
      <c r="O34" s="6"/>
      <c r="P34" s="6">
        <v>0</v>
      </c>
      <c r="Q34" s="6"/>
      <c r="R34" s="6">
        <v>0</v>
      </c>
      <c r="S34" s="6"/>
      <c r="T34" s="6">
        <v>7839.68</v>
      </c>
      <c r="U34" s="6"/>
      <c r="V34" s="6">
        <v>0</v>
      </c>
      <c r="W34" s="6"/>
      <c r="X34" s="6">
        <v>0</v>
      </c>
      <c r="Y34" s="6"/>
      <c r="Z34" s="6">
        <v>137622.01</v>
      </c>
      <c r="AA34" s="6"/>
      <c r="AB34" s="6">
        <v>0</v>
      </c>
      <c r="AC34" s="6"/>
      <c r="AD34" s="6">
        <v>0</v>
      </c>
      <c r="AE34" s="6"/>
      <c r="AF34" s="73">
        <f t="shared" si="0"/>
        <v>1293229.8700000001</v>
      </c>
    </row>
    <row r="35" spans="1:64">
      <c r="A35" s="4">
        <v>19</v>
      </c>
      <c r="B35" s="3" t="s">
        <v>19</v>
      </c>
      <c r="D35" s="3" t="s">
        <v>11</v>
      </c>
      <c r="F35" s="1">
        <v>17754</v>
      </c>
      <c r="G35" s="1"/>
      <c r="H35" s="1">
        <v>0</v>
      </c>
      <c r="I35" s="1"/>
      <c r="J35" s="1">
        <v>55110</v>
      </c>
      <c r="K35" s="1"/>
      <c r="L35" s="1">
        <v>60220</v>
      </c>
      <c r="M35" s="1"/>
      <c r="N35" s="1">
        <v>269179</v>
      </c>
      <c r="O35" s="1"/>
      <c r="P35" s="1">
        <v>0</v>
      </c>
      <c r="Q35" s="1"/>
      <c r="R35" s="1">
        <v>0</v>
      </c>
      <c r="S35" s="1"/>
      <c r="T35" s="1">
        <v>24784</v>
      </c>
      <c r="U35" s="1"/>
      <c r="V35" s="1">
        <v>0</v>
      </c>
      <c r="W35" s="1"/>
      <c r="X35" s="1">
        <v>0</v>
      </c>
      <c r="Y35" s="1"/>
      <c r="Z35" s="1">
        <v>30000</v>
      </c>
      <c r="AA35" s="1"/>
      <c r="AB35" s="1">
        <v>0</v>
      </c>
      <c r="AC35" s="1"/>
      <c r="AD35" s="1">
        <v>0</v>
      </c>
      <c r="AE35" s="4"/>
      <c r="AF35" s="77">
        <f t="shared" si="0"/>
        <v>457047</v>
      </c>
    </row>
    <row r="36" spans="1:64">
      <c r="A36" s="4">
        <v>20</v>
      </c>
      <c r="B36" s="35" t="s">
        <v>83</v>
      </c>
      <c r="C36" s="35"/>
      <c r="D36" s="35" t="s">
        <v>467</v>
      </c>
      <c r="E36" s="35"/>
      <c r="F36" s="6">
        <v>3855.54</v>
      </c>
      <c r="G36" s="6"/>
      <c r="H36" s="6">
        <v>335533</v>
      </c>
      <c r="I36" s="6"/>
      <c r="J36" s="6">
        <v>53512.36</v>
      </c>
      <c r="K36" s="6"/>
      <c r="L36" s="6">
        <v>59810.1</v>
      </c>
      <c r="M36" s="6"/>
      <c r="N36" s="6">
        <v>23396.240000000002</v>
      </c>
      <c r="O36" s="6"/>
      <c r="P36" s="6">
        <v>0</v>
      </c>
      <c r="Q36" s="6"/>
      <c r="R36" s="6">
        <v>0</v>
      </c>
      <c r="S36" s="6"/>
      <c r="T36" s="6">
        <v>4467.43</v>
      </c>
      <c r="U36" s="6"/>
      <c r="V36" s="6">
        <v>0</v>
      </c>
      <c r="W36" s="6"/>
      <c r="X36" s="6">
        <v>0</v>
      </c>
      <c r="Y36" s="6"/>
      <c r="Z36" s="6">
        <v>0</v>
      </c>
      <c r="AA36" s="6"/>
      <c r="AB36" s="6">
        <v>0</v>
      </c>
      <c r="AC36" s="6"/>
      <c r="AD36" s="6">
        <v>35.26</v>
      </c>
      <c r="AE36" s="6"/>
      <c r="AF36" s="73">
        <f t="shared" si="0"/>
        <v>480609.92999999993</v>
      </c>
    </row>
    <row r="37" spans="1:64">
      <c r="A37" s="4">
        <v>137</v>
      </c>
      <c r="B37" s="3" t="s">
        <v>84</v>
      </c>
      <c r="D37" s="3" t="s">
        <v>85</v>
      </c>
      <c r="F37" s="1">
        <v>0</v>
      </c>
      <c r="G37" s="1"/>
      <c r="H37" s="1">
        <v>75962</v>
      </c>
      <c r="I37" s="1"/>
      <c r="J37" s="1">
        <v>0</v>
      </c>
      <c r="K37" s="1"/>
      <c r="L37" s="1">
        <v>0</v>
      </c>
      <c r="M37" s="1"/>
      <c r="N37" s="1">
        <v>0</v>
      </c>
      <c r="O37" s="1"/>
      <c r="P37" s="1">
        <v>0</v>
      </c>
      <c r="Q37" s="1"/>
      <c r="R37" s="1">
        <v>0</v>
      </c>
      <c r="S37" s="1"/>
      <c r="T37" s="1">
        <v>0</v>
      </c>
      <c r="U37" s="1"/>
      <c r="V37" s="1">
        <v>0</v>
      </c>
      <c r="W37" s="1"/>
      <c r="X37" s="1">
        <v>0</v>
      </c>
      <c r="Y37" s="1"/>
      <c r="Z37" s="1">
        <v>0</v>
      </c>
      <c r="AA37" s="1"/>
      <c r="AB37" s="1">
        <v>0</v>
      </c>
      <c r="AC37" s="1"/>
      <c r="AD37" s="1">
        <v>0</v>
      </c>
      <c r="AE37" s="4"/>
      <c r="AF37" s="77">
        <f t="shared" si="0"/>
        <v>75962</v>
      </c>
      <c r="AG37" s="47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4"/>
    </row>
    <row r="38" spans="1:64">
      <c r="A38" s="4">
        <v>110</v>
      </c>
      <c r="B38" s="3" t="s">
        <v>86</v>
      </c>
      <c r="D38" s="3" t="s">
        <v>87</v>
      </c>
      <c r="F38" s="1">
        <v>26284</v>
      </c>
      <c r="G38" s="1"/>
      <c r="H38" s="1">
        <v>682699</v>
      </c>
      <c r="I38" s="1"/>
      <c r="J38" s="1">
        <v>8620</v>
      </c>
      <c r="K38" s="1"/>
      <c r="L38" s="1">
        <v>30707</v>
      </c>
      <c r="M38" s="1"/>
      <c r="N38" s="1">
        <v>74715</v>
      </c>
      <c r="O38" s="1"/>
      <c r="P38" s="1">
        <v>0</v>
      </c>
      <c r="Q38" s="1"/>
      <c r="R38" s="1">
        <v>0</v>
      </c>
      <c r="S38" s="1"/>
      <c r="T38" s="1">
        <v>5090</v>
      </c>
      <c r="U38" s="1"/>
      <c r="V38" s="1">
        <v>0</v>
      </c>
      <c r="W38" s="1"/>
      <c r="X38" s="1">
        <v>0</v>
      </c>
      <c r="Y38" s="1"/>
      <c r="Z38" s="1">
        <v>0</v>
      </c>
      <c r="AA38" s="1"/>
      <c r="AB38" s="1">
        <v>0</v>
      </c>
      <c r="AC38" s="1"/>
      <c r="AD38" s="1">
        <v>0</v>
      </c>
      <c r="AE38" s="4"/>
      <c r="AF38" s="77">
        <f t="shared" si="0"/>
        <v>828115</v>
      </c>
    </row>
    <row r="39" spans="1:64">
      <c r="A39" s="4">
        <v>203</v>
      </c>
      <c r="B39" s="3" t="s">
        <v>88</v>
      </c>
      <c r="D39" s="3" t="s">
        <v>43</v>
      </c>
      <c r="F39" s="1">
        <v>0</v>
      </c>
      <c r="G39" s="1"/>
      <c r="H39" s="1">
        <v>47762</v>
      </c>
      <c r="I39" s="1"/>
      <c r="J39" s="1">
        <v>32382</v>
      </c>
      <c r="K39" s="1"/>
      <c r="L39" s="1">
        <v>11287</v>
      </c>
      <c r="M39" s="1"/>
      <c r="N39" s="1">
        <v>20735</v>
      </c>
      <c r="O39" s="1"/>
      <c r="P39" s="1">
        <v>0</v>
      </c>
      <c r="Q39" s="1"/>
      <c r="R39" s="1">
        <v>0</v>
      </c>
      <c r="S39" s="1"/>
      <c r="T39" s="1">
        <v>2098</v>
      </c>
      <c r="U39" s="1"/>
      <c r="V39" s="1">
        <v>0</v>
      </c>
      <c r="W39" s="1"/>
      <c r="X39" s="1">
        <v>0</v>
      </c>
      <c r="Y39" s="1"/>
      <c r="Z39" s="1">
        <v>13614</v>
      </c>
      <c r="AA39" s="1"/>
      <c r="AB39" s="1">
        <v>0</v>
      </c>
      <c r="AC39" s="1"/>
      <c r="AD39" s="1">
        <v>0</v>
      </c>
      <c r="AE39" s="4"/>
      <c r="AF39" s="77">
        <f t="shared" si="0"/>
        <v>127878</v>
      </c>
    </row>
    <row r="40" spans="1:64">
      <c r="A40" s="4">
        <v>74</v>
      </c>
      <c r="B40" s="3" t="s">
        <v>297</v>
      </c>
      <c r="D40" s="3" t="s">
        <v>90</v>
      </c>
      <c r="F40" s="76">
        <v>0</v>
      </c>
      <c r="G40" s="76"/>
      <c r="H40" s="76">
        <v>1983957.03</v>
      </c>
      <c r="I40" s="76"/>
      <c r="J40" s="76">
        <v>0</v>
      </c>
      <c r="K40" s="76"/>
      <c r="L40" s="76">
        <v>0</v>
      </c>
      <c r="M40" s="76"/>
      <c r="N40" s="76">
        <v>0</v>
      </c>
      <c r="O40" s="76"/>
      <c r="P40" s="76">
        <v>0</v>
      </c>
      <c r="Q40" s="76"/>
      <c r="R40" s="76">
        <v>0</v>
      </c>
      <c r="S40" s="76"/>
      <c r="T40" s="76">
        <v>35223.5</v>
      </c>
      <c r="U40" s="76"/>
      <c r="V40" s="76">
        <v>0</v>
      </c>
      <c r="W40" s="76"/>
      <c r="X40" s="76">
        <v>0</v>
      </c>
      <c r="Y40" s="76"/>
      <c r="Z40" s="76">
        <v>0</v>
      </c>
      <c r="AA40" s="76"/>
      <c r="AB40" s="76">
        <v>0</v>
      </c>
      <c r="AC40" s="76"/>
      <c r="AD40" s="76">
        <v>0</v>
      </c>
      <c r="AE40" s="76"/>
      <c r="AF40" s="73">
        <f t="shared" ref="AF40:AF71" si="1">SUM(F40:AD40)</f>
        <v>2019180.53</v>
      </c>
    </row>
    <row r="41" spans="1:64">
      <c r="A41" s="4">
        <v>200</v>
      </c>
      <c r="B41" s="3" t="s">
        <v>91</v>
      </c>
      <c r="D41" s="3" t="s">
        <v>92</v>
      </c>
      <c r="F41" s="1">
        <v>142457</v>
      </c>
      <c r="G41" s="1"/>
      <c r="H41" s="1">
        <v>1083333</v>
      </c>
      <c r="I41" s="1"/>
      <c r="J41" s="1">
        <v>217141</v>
      </c>
      <c r="K41" s="1"/>
      <c r="L41" s="1">
        <v>155662</v>
      </c>
      <c r="M41" s="1"/>
      <c r="N41" s="1">
        <v>132765</v>
      </c>
      <c r="O41" s="1"/>
      <c r="P41" s="1">
        <v>0</v>
      </c>
      <c r="Q41" s="1"/>
      <c r="R41" s="1">
        <v>0</v>
      </c>
      <c r="S41" s="1"/>
      <c r="T41" s="1">
        <v>24406</v>
      </c>
      <c r="U41" s="1"/>
      <c r="V41" s="1">
        <v>0</v>
      </c>
      <c r="W41" s="1"/>
      <c r="X41" s="1">
        <v>0</v>
      </c>
      <c r="Y41" s="1"/>
      <c r="Z41" s="1">
        <v>0</v>
      </c>
      <c r="AA41" s="1"/>
      <c r="AB41" s="1">
        <v>4400</v>
      </c>
      <c r="AC41" s="1"/>
      <c r="AD41" s="1">
        <v>0</v>
      </c>
      <c r="AE41" s="4"/>
      <c r="AF41" s="77">
        <f t="shared" si="1"/>
        <v>1760164</v>
      </c>
      <c r="AG41" s="47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4"/>
    </row>
    <row r="42" spans="1:64" hidden="1">
      <c r="A42" s="4">
        <v>35</v>
      </c>
      <c r="B42" s="3" t="s">
        <v>93</v>
      </c>
      <c r="D42" s="3" t="s">
        <v>67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"/>
      <c r="AF42" s="77">
        <f t="shared" si="1"/>
        <v>0</v>
      </c>
      <c r="AG42" s="47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4"/>
    </row>
    <row r="43" spans="1:64" s="11" customFormat="1" ht="12.75">
      <c r="A43" s="4">
        <v>204</v>
      </c>
      <c r="B43" s="3" t="s">
        <v>94</v>
      </c>
      <c r="C43" s="3"/>
      <c r="D43" s="3" t="s">
        <v>43</v>
      </c>
      <c r="E43" s="3"/>
      <c r="F43" s="6">
        <v>0</v>
      </c>
      <c r="G43" s="6"/>
      <c r="H43" s="6">
        <v>131583.43</v>
      </c>
      <c r="I43" s="6"/>
      <c r="J43" s="6">
        <v>0</v>
      </c>
      <c r="K43" s="6"/>
      <c r="L43" s="6">
        <v>0</v>
      </c>
      <c r="M43" s="6"/>
      <c r="N43" s="6">
        <v>0</v>
      </c>
      <c r="O43" s="6"/>
      <c r="P43" s="6">
        <v>0</v>
      </c>
      <c r="Q43" s="6"/>
      <c r="R43" s="6">
        <v>0</v>
      </c>
      <c r="S43" s="6"/>
      <c r="T43" s="6">
        <v>0</v>
      </c>
      <c r="U43" s="6"/>
      <c r="V43" s="6">
        <v>0</v>
      </c>
      <c r="W43" s="6"/>
      <c r="X43" s="6">
        <v>0</v>
      </c>
      <c r="Y43" s="6"/>
      <c r="Z43" s="6">
        <v>97203.22</v>
      </c>
      <c r="AA43" s="6"/>
      <c r="AB43" s="6">
        <v>0</v>
      </c>
      <c r="AC43" s="6"/>
      <c r="AD43" s="6">
        <v>1127.94</v>
      </c>
      <c r="AE43" s="6"/>
      <c r="AF43" s="73">
        <f t="shared" si="1"/>
        <v>229914.59</v>
      </c>
      <c r="AG43" s="9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>
      <c r="A44" s="4">
        <v>3</v>
      </c>
      <c r="B44" s="3" t="s">
        <v>298</v>
      </c>
      <c r="D44" s="3" t="s">
        <v>95</v>
      </c>
      <c r="F44" s="6">
        <v>0</v>
      </c>
      <c r="G44" s="6"/>
      <c r="H44" s="6">
        <v>214250</v>
      </c>
      <c r="I44" s="6"/>
      <c r="J44" s="6">
        <v>25973.21</v>
      </c>
      <c r="K44" s="6"/>
      <c r="L44" s="6">
        <v>38808.06</v>
      </c>
      <c r="M44" s="6"/>
      <c r="N44" s="6">
        <v>25884.13</v>
      </c>
      <c r="O44" s="6"/>
      <c r="P44" s="6">
        <v>0</v>
      </c>
      <c r="Q44" s="6"/>
      <c r="R44" s="6">
        <v>0</v>
      </c>
      <c r="S44" s="6"/>
      <c r="T44" s="6">
        <v>0</v>
      </c>
      <c r="U44" s="6"/>
      <c r="V44" s="6">
        <v>0</v>
      </c>
      <c r="W44" s="6"/>
      <c r="X44" s="6">
        <v>0</v>
      </c>
      <c r="Y44" s="6"/>
      <c r="Z44" s="6">
        <v>0</v>
      </c>
      <c r="AA44" s="6"/>
      <c r="AB44" s="6">
        <v>0</v>
      </c>
      <c r="AC44" s="6"/>
      <c r="AD44" s="6">
        <v>0</v>
      </c>
      <c r="AE44" s="6"/>
      <c r="AF44" s="73">
        <f t="shared" si="1"/>
        <v>304915.40000000002</v>
      </c>
      <c r="AG44" s="47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4"/>
    </row>
    <row r="45" spans="1:64">
      <c r="A45" s="4">
        <v>101</v>
      </c>
      <c r="B45" s="35" t="s">
        <v>96</v>
      </c>
      <c r="C45" s="35"/>
      <c r="D45" s="35" t="s">
        <v>478</v>
      </c>
      <c r="E45" s="35"/>
      <c r="F45" s="6">
        <v>0</v>
      </c>
      <c r="G45" s="6"/>
      <c r="H45" s="6">
        <v>170669.28</v>
      </c>
      <c r="I45" s="6"/>
      <c r="J45" s="6">
        <v>0</v>
      </c>
      <c r="K45" s="6"/>
      <c r="L45" s="6">
        <v>0</v>
      </c>
      <c r="M45" s="6"/>
      <c r="N45" s="6">
        <v>0</v>
      </c>
      <c r="O45" s="6"/>
      <c r="P45" s="6">
        <v>0</v>
      </c>
      <c r="Q45" s="6"/>
      <c r="R45" s="6">
        <v>0</v>
      </c>
      <c r="S45" s="6"/>
      <c r="T45" s="6">
        <v>4594.1000000000004</v>
      </c>
      <c r="U45" s="6"/>
      <c r="V45" s="6">
        <v>0</v>
      </c>
      <c r="W45" s="6"/>
      <c r="X45" s="6">
        <v>0</v>
      </c>
      <c r="Y45" s="6"/>
      <c r="Z45" s="6">
        <v>0</v>
      </c>
      <c r="AA45" s="6"/>
      <c r="AB45" s="6">
        <v>0</v>
      </c>
      <c r="AC45" s="6"/>
      <c r="AD45" s="6">
        <v>0</v>
      </c>
      <c r="AE45" s="6"/>
      <c r="AF45" s="73">
        <f t="shared" si="1"/>
        <v>175263.38</v>
      </c>
      <c r="AG45" s="47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4"/>
    </row>
    <row r="46" spans="1:64">
      <c r="A46" s="4">
        <v>162</v>
      </c>
      <c r="B46" s="3" t="s">
        <v>97</v>
      </c>
      <c r="D46" s="3" t="s">
        <v>51</v>
      </c>
      <c r="F46" s="6">
        <v>0</v>
      </c>
      <c r="G46" s="6"/>
      <c r="H46" s="6">
        <v>157801.85999999999</v>
      </c>
      <c r="I46" s="6"/>
      <c r="J46" s="6">
        <v>0</v>
      </c>
      <c r="K46" s="6"/>
      <c r="L46" s="6">
        <v>0</v>
      </c>
      <c r="M46" s="6"/>
      <c r="N46" s="6">
        <v>0</v>
      </c>
      <c r="O46" s="6"/>
      <c r="P46" s="6">
        <v>0</v>
      </c>
      <c r="Q46" s="6"/>
      <c r="R46" s="6">
        <v>0</v>
      </c>
      <c r="S46" s="6"/>
      <c r="T46" s="6">
        <v>9863.09</v>
      </c>
      <c r="U46" s="6"/>
      <c r="V46" s="6">
        <v>0</v>
      </c>
      <c r="W46" s="6"/>
      <c r="X46" s="6">
        <v>0</v>
      </c>
      <c r="Y46" s="6"/>
      <c r="Z46" s="6">
        <v>0</v>
      </c>
      <c r="AA46" s="6"/>
      <c r="AB46" s="6">
        <v>0</v>
      </c>
      <c r="AC46" s="6"/>
      <c r="AD46" s="6">
        <v>0</v>
      </c>
      <c r="AE46" s="6"/>
      <c r="AF46" s="73">
        <f t="shared" si="1"/>
        <v>167664.94999999998</v>
      </c>
    </row>
    <row r="47" spans="1:64">
      <c r="A47" s="39">
        <v>130.1</v>
      </c>
      <c r="B47" s="3" t="s">
        <v>570</v>
      </c>
      <c r="D47" s="3" t="s">
        <v>571</v>
      </c>
      <c r="F47" s="1">
        <v>24507</v>
      </c>
      <c r="G47" s="1"/>
      <c r="H47" s="1">
        <v>1480697</v>
      </c>
      <c r="I47" s="1"/>
      <c r="J47" s="1">
        <v>137995</v>
      </c>
      <c r="K47" s="1"/>
      <c r="L47" s="1">
        <v>112790</v>
      </c>
      <c r="M47" s="1"/>
      <c r="N47" s="1">
        <v>81522</v>
      </c>
      <c r="O47" s="1"/>
      <c r="P47" s="1">
        <v>0</v>
      </c>
      <c r="Q47" s="1"/>
      <c r="R47" s="1">
        <v>0</v>
      </c>
      <c r="S47" s="1"/>
      <c r="T47" s="1">
        <v>0</v>
      </c>
      <c r="U47" s="1"/>
      <c r="V47" s="1">
        <v>0</v>
      </c>
      <c r="W47" s="1"/>
      <c r="X47" s="1">
        <v>0</v>
      </c>
      <c r="Y47" s="1"/>
      <c r="Z47" s="1">
        <v>19000</v>
      </c>
      <c r="AA47" s="1"/>
      <c r="AB47" s="1">
        <v>0</v>
      </c>
      <c r="AC47" s="1"/>
      <c r="AD47" s="1">
        <v>0</v>
      </c>
      <c r="AE47" s="4"/>
      <c r="AF47" s="77">
        <f t="shared" si="1"/>
        <v>1856511</v>
      </c>
      <c r="AR47" s="3">
        <v>8684.6</v>
      </c>
    </row>
    <row r="48" spans="1:64">
      <c r="A48" s="4">
        <v>223</v>
      </c>
      <c r="B48" s="3" t="s">
        <v>98</v>
      </c>
      <c r="D48" s="3" t="s">
        <v>54</v>
      </c>
      <c r="F48" s="1">
        <v>222810</v>
      </c>
      <c r="G48" s="1"/>
      <c r="H48" s="1">
        <v>0</v>
      </c>
      <c r="I48" s="1"/>
      <c r="J48" s="1">
        <v>0</v>
      </c>
      <c r="K48" s="1"/>
      <c r="L48" s="1">
        <v>0</v>
      </c>
      <c r="M48" s="1"/>
      <c r="N48" s="1">
        <v>100113</v>
      </c>
      <c r="O48" s="1"/>
      <c r="P48" s="1">
        <v>0</v>
      </c>
      <c r="Q48" s="1"/>
      <c r="R48" s="1">
        <v>0</v>
      </c>
      <c r="S48" s="1"/>
      <c r="T48" s="1">
        <v>0</v>
      </c>
      <c r="U48" s="1"/>
      <c r="V48" s="1">
        <v>0</v>
      </c>
      <c r="W48" s="1"/>
      <c r="X48" s="1">
        <v>0</v>
      </c>
      <c r="Y48" s="1"/>
      <c r="Z48" s="1">
        <v>0</v>
      </c>
      <c r="AA48" s="1"/>
      <c r="AB48" s="1">
        <v>0</v>
      </c>
      <c r="AC48" s="1"/>
      <c r="AD48" s="1">
        <v>0</v>
      </c>
      <c r="AE48" s="4"/>
      <c r="AF48" s="77">
        <f t="shared" si="1"/>
        <v>322923</v>
      </c>
    </row>
    <row r="49" spans="1:64">
      <c r="A49" s="4">
        <v>23</v>
      </c>
      <c r="B49" s="35" t="s">
        <v>468</v>
      </c>
      <c r="C49" s="35"/>
      <c r="D49" s="35" t="s">
        <v>469</v>
      </c>
      <c r="E49" s="35"/>
      <c r="F49" s="6">
        <v>0</v>
      </c>
      <c r="G49" s="6"/>
      <c r="H49" s="6">
        <v>1071759.3700000001</v>
      </c>
      <c r="I49" s="6"/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0</v>
      </c>
      <c r="S49" s="6"/>
      <c r="T49" s="6">
        <v>239</v>
      </c>
      <c r="U49" s="6"/>
      <c r="V49" s="6">
        <v>0</v>
      </c>
      <c r="W49" s="6"/>
      <c r="X49" s="6">
        <v>0</v>
      </c>
      <c r="Y49" s="6"/>
      <c r="Z49" s="6">
        <v>40000</v>
      </c>
      <c r="AA49" s="6"/>
      <c r="AB49" s="6">
        <v>2245.44</v>
      </c>
      <c r="AC49" s="6"/>
      <c r="AD49" s="6">
        <v>0</v>
      </c>
      <c r="AE49" s="6"/>
      <c r="AF49" s="73">
        <f t="shared" si="1"/>
        <v>1114243.81</v>
      </c>
      <c r="AG49" s="47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4"/>
    </row>
    <row r="50" spans="1:64">
      <c r="A50" s="4">
        <v>194</v>
      </c>
      <c r="B50" s="3" t="s">
        <v>99</v>
      </c>
      <c r="D50" s="3" t="s">
        <v>100</v>
      </c>
      <c r="F50" s="1">
        <v>315</v>
      </c>
      <c r="G50" s="1"/>
      <c r="H50" s="1">
        <v>1870</v>
      </c>
      <c r="I50" s="1"/>
      <c r="J50" s="1">
        <v>10988</v>
      </c>
      <c r="K50" s="1"/>
      <c r="L50" s="1">
        <v>95107</v>
      </c>
      <c r="M50" s="1"/>
      <c r="N50" s="1">
        <v>4175</v>
      </c>
      <c r="O50" s="1"/>
      <c r="P50" s="1">
        <v>0</v>
      </c>
      <c r="Q50" s="1"/>
      <c r="R50" s="1">
        <v>0</v>
      </c>
      <c r="S50" s="1"/>
      <c r="T50" s="1">
        <v>625</v>
      </c>
      <c r="U50" s="1"/>
      <c r="V50" s="1">
        <v>0</v>
      </c>
      <c r="W50" s="1"/>
      <c r="X50" s="1">
        <v>0</v>
      </c>
      <c r="Y50" s="1"/>
      <c r="Z50" s="1">
        <v>0</v>
      </c>
      <c r="AA50" s="1"/>
      <c r="AB50" s="1">
        <v>0</v>
      </c>
      <c r="AC50" s="1"/>
      <c r="AD50" s="1">
        <v>0</v>
      </c>
      <c r="AE50" s="4"/>
      <c r="AF50" s="77">
        <f t="shared" si="1"/>
        <v>113080</v>
      </c>
    </row>
    <row r="51" spans="1:64">
      <c r="A51" s="4">
        <v>46</v>
      </c>
      <c r="B51" s="3" t="s">
        <v>101</v>
      </c>
      <c r="D51" s="3" t="s">
        <v>50</v>
      </c>
      <c r="F51" s="1">
        <v>0</v>
      </c>
      <c r="G51" s="1"/>
      <c r="H51" s="1">
        <v>131846</v>
      </c>
      <c r="I51" s="1"/>
      <c r="J51" s="1">
        <v>46013</v>
      </c>
      <c r="K51" s="1"/>
      <c r="L51" s="1">
        <v>321167</v>
      </c>
      <c r="M51" s="1"/>
      <c r="N51" s="1">
        <v>0</v>
      </c>
      <c r="O51" s="1"/>
      <c r="P51" s="1">
        <v>0</v>
      </c>
      <c r="Q51" s="1"/>
      <c r="R51" s="1">
        <v>0</v>
      </c>
      <c r="S51" s="1"/>
      <c r="T51" s="1">
        <v>22788</v>
      </c>
      <c r="U51" s="1"/>
      <c r="V51" s="1">
        <v>0</v>
      </c>
      <c r="W51" s="1"/>
      <c r="X51" s="1">
        <v>0</v>
      </c>
      <c r="Y51" s="1"/>
      <c r="Z51" s="1">
        <v>0</v>
      </c>
      <c r="AA51" s="1"/>
      <c r="AB51" s="1">
        <v>0</v>
      </c>
      <c r="AC51" s="1"/>
      <c r="AD51" s="1">
        <v>0</v>
      </c>
      <c r="AE51" s="4"/>
      <c r="AF51" s="77">
        <f t="shared" si="1"/>
        <v>521814</v>
      </c>
      <c r="AG51" s="47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4"/>
    </row>
    <row r="52" spans="1:64">
      <c r="A52" s="4">
        <v>89</v>
      </c>
      <c r="B52" s="3" t="s">
        <v>102</v>
      </c>
      <c r="D52" s="3" t="s">
        <v>15</v>
      </c>
      <c r="F52" s="6">
        <v>0</v>
      </c>
      <c r="G52" s="6"/>
      <c r="H52" s="6">
        <v>706836</v>
      </c>
      <c r="I52" s="6"/>
      <c r="J52" s="6">
        <v>0</v>
      </c>
      <c r="K52" s="6"/>
      <c r="L52" s="6">
        <v>0</v>
      </c>
      <c r="M52" s="6"/>
      <c r="N52" s="6">
        <v>0</v>
      </c>
      <c r="O52" s="6"/>
      <c r="P52" s="6">
        <v>0</v>
      </c>
      <c r="Q52" s="6"/>
      <c r="R52" s="6">
        <v>0</v>
      </c>
      <c r="S52" s="6"/>
      <c r="T52" s="6">
        <v>15709.01</v>
      </c>
      <c r="U52" s="6"/>
      <c r="V52" s="6">
        <v>0</v>
      </c>
      <c r="W52" s="6"/>
      <c r="X52" s="6">
        <v>0</v>
      </c>
      <c r="Y52" s="6"/>
      <c r="Z52" s="6">
        <v>0</v>
      </c>
      <c r="AA52" s="6"/>
      <c r="AB52" s="6">
        <v>0</v>
      </c>
      <c r="AC52" s="6"/>
      <c r="AD52" s="6">
        <v>0</v>
      </c>
      <c r="AE52" s="6"/>
      <c r="AF52" s="73">
        <f t="shared" si="1"/>
        <v>722545.01</v>
      </c>
    </row>
    <row r="53" spans="1:64">
      <c r="A53" s="4">
        <v>179</v>
      </c>
      <c r="B53" s="3" t="s">
        <v>103</v>
      </c>
      <c r="D53" s="3" t="s">
        <v>104</v>
      </c>
      <c r="F53" s="6">
        <v>0</v>
      </c>
      <c r="G53" s="6"/>
      <c r="H53" s="6">
        <v>305641.56</v>
      </c>
      <c r="I53" s="6"/>
      <c r="J53" s="6">
        <v>0</v>
      </c>
      <c r="K53" s="6"/>
      <c r="L53" s="6">
        <v>0</v>
      </c>
      <c r="M53" s="6"/>
      <c r="N53" s="6">
        <v>0</v>
      </c>
      <c r="O53" s="6"/>
      <c r="P53" s="6">
        <v>0</v>
      </c>
      <c r="Q53" s="6"/>
      <c r="R53" s="6">
        <v>0</v>
      </c>
      <c r="S53" s="6"/>
      <c r="T53" s="6">
        <v>848.99</v>
      </c>
      <c r="U53" s="6"/>
      <c r="V53" s="6">
        <v>0</v>
      </c>
      <c r="W53" s="6"/>
      <c r="X53" s="6">
        <v>0</v>
      </c>
      <c r="Y53" s="6"/>
      <c r="Z53" s="6">
        <v>0</v>
      </c>
      <c r="AA53" s="6"/>
      <c r="AB53" s="6">
        <v>0</v>
      </c>
      <c r="AC53" s="6"/>
      <c r="AD53" s="6">
        <v>0</v>
      </c>
      <c r="AE53" s="6"/>
      <c r="AF53" s="73">
        <f t="shared" si="1"/>
        <v>306490.55</v>
      </c>
      <c r="AR53" s="3">
        <v>414.65</v>
      </c>
    </row>
    <row r="54" spans="1:64">
      <c r="A54" s="4">
        <v>209</v>
      </c>
      <c r="B54" s="3" t="s">
        <v>105</v>
      </c>
      <c r="D54" s="3" t="s">
        <v>23</v>
      </c>
      <c r="F54" s="6">
        <v>0</v>
      </c>
      <c r="G54" s="6"/>
      <c r="H54" s="6">
        <v>796131.66</v>
      </c>
      <c r="I54" s="6"/>
      <c r="J54" s="6">
        <v>0</v>
      </c>
      <c r="K54" s="6"/>
      <c r="L54" s="6">
        <v>0</v>
      </c>
      <c r="M54" s="6"/>
      <c r="N54" s="6">
        <v>0</v>
      </c>
      <c r="O54" s="6"/>
      <c r="P54" s="6">
        <v>0</v>
      </c>
      <c r="Q54" s="6"/>
      <c r="R54" s="6">
        <v>0</v>
      </c>
      <c r="S54" s="6"/>
      <c r="T54" s="6">
        <v>0</v>
      </c>
      <c r="U54" s="6"/>
      <c r="V54" s="6">
        <v>0</v>
      </c>
      <c r="W54" s="6"/>
      <c r="X54" s="6">
        <v>0</v>
      </c>
      <c r="Y54" s="6"/>
      <c r="Z54" s="6">
        <v>0</v>
      </c>
      <c r="AA54" s="6"/>
      <c r="AB54" s="6">
        <v>0</v>
      </c>
      <c r="AC54" s="6"/>
      <c r="AD54" s="6">
        <v>0</v>
      </c>
      <c r="AE54" s="6"/>
      <c r="AF54" s="73">
        <f t="shared" si="1"/>
        <v>796131.66</v>
      </c>
    </row>
    <row r="55" spans="1:64">
      <c r="A55" s="4">
        <v>174</v>
      </c>
      <c r="B55" s="3" t="s">
        <v>106</v>
      </c>
      <c r="D55" s="3" t="s">
        <v>66</v>
      </c>
      <c r="F55" s="1">
        <v>3792</v>
      </c>
      <c r="G55" s="1"/>
      <c r="H55" s="1">
        <v>82227</v>
      </c>
      <c r="I55" s="1"/>
      <c r="J55" s="1">
        <v>30303</v>
      </c>
      <c r="K55" s="1"/>
      <c r="L55" s="1">
        <v>22901</v>
      </c>
      <c r="M55" s="1"/>
      <c r="N55" s="1">
        <v>49966</v>
      </c>
      <c r="O55" s="1"/>
      <c r="P55" s="1">
        <v>0</v>
      </c>
      <c r="Q55" s="1"/>
      <c r="R55" s="1">
        <v>0</v>
      </c>
      <c r="S55" s="1"/>
      <c r="T55" s="1">
        <v>55825</v>
      </c>
      <c r="U55" s="1"/>
      <c r="V55" s="1">
        <v>0</v>
      </c>
      <c r="W55" s="1"/>
      <c r="X55" s="1">
        <v>0</v>
      </c>
      <c r="Y55" s="1"/>
      <c r="Z55" s="1">
        <v>0</v>
      </c>
      <c r="AA55" s="1"/>
      <c r="AB55" s="1">
        <v>0</v>
      </c>
      <c r="AC55" s="1"/>
      <c r="AD55" s="1">
        <v>0</v>
      </c>
      <c r="AE55" s="4"/>
      <c r="AF55" s="77">
        <f t="shared" si="1"/>
        <v>245014</v>
      </c>
    </row>
    <row r="56" spans="1:64">
      <c r="A56" s="4">
        <v>73</v>
      </c>
      <c r="B56" s="3" t="s">
        <v>107</v>
      </c>
      <c r="D56" s="3" t="s">
        <v>108</v>
      </c>
      <c r="F56" s="1">
        <v>15363</v>
      </c>
      <c r="G56" s="1"/>
      <c r="H56" s="1">
        <v>361967</v>
      </c>
      <c r="I56" s="1"/>
      <c r="J56" s="1">
        <v>37510</v>
      </c>
      <c r="K56" s="1"/>
      <c r="L56" s="1">
        <v>101628</v>
      </c>
      <c r="M56" s="1"/>
      <c r="N56" s="1">
        <v>307521</v>
      </c>
      <c r="O56" s="1"/>
      <c r="P56" s="1">
        <v>0</v>
      </c>
      <c r="Q56" s="1"/>
      <c r="R56" s="1">
        <v>0</v>
      </c>
      <c r="S56" s="1"/>
      <c r="T56" s="1">
        <v>5126</v>
      </c>
      <c r="U56" s="1"/>
      <c r="V56" s="1">
        <v>0</v>
      </c>
      <c r="W56" s="1"/>
      <c r="X56" s="1">
        <v>0</v>
      </c>
      <c r="Y56" s="1"/>
      <c r="Z56" s="1">
        <v>0</v>
      </c>
      <c r="AA56" s="1"/>
      <c r="AB56" s="1">
        <v>0</v>
      </c>
      <c r="AC56" s="1"/>
      <c r="AD56" s="1">
        <v>0</v>
      </c>
      <c r="AE56" s="4"/>
      <c r="AF56" s="77">
        <f t="shared" si="1"/>
        <v>829115</v>
      </c>
      <c r="AG56" s="47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4"/>
    </row>
    <row r="57" spans="1:64">
      <c r="A57" s="4">
        <v>27</v>
      </c>
      <c r="B57" s="35" t="s">
        <v>583</v>
      </c>
      <c r="C57" s="35"/>
      <c r="D57" s="35" t="s">
        <v>470</v>
      </c>
      <c r="E57" s="35"/>
      <c r="F57" s="6">
        <v>0</v>
      </c>
      <c r="G57" s="6"/>
      <c r="H57" s="6">
        <v>603921.46</v>
      </c>
      <c r="I57" s="6"/>
      <c r="J57" s="6">
        <v>0</v>
      </c>
      <c r="K57" s="6"/>
      <c r="L57" s="6">
        <v>0</v>
      </c>
      <c r="M57" s="6"/>
      <c r="N57" s="6">
        <v>0</v>
      </c>
      <c r="O57" s="6"/>
      <c r="P57" s="6">
        <v>0</v>
      </c>
      <c r="Q57" s="6"/>
      <c r="R57" s="6">
        <v>0</v>
      </c>
      <c r="S57" s="6"/>
      <c r="T57" s="6">
        <v>11586.6</v>
      </c>
      <c r="U57" s="6"/>
      <c r="V57" s="6">
        <v>0</v>
      </c>
      <c r="W57" s="6"/>
      <c r="X57" s="6">
        <v>0</v>
      </c>
      <c r="Y57" s="6"/>
      <c r="Z57" s="6">
        <v>0</v>
      </c>
      <c r="AA57" s="6"/>
      <c r="AB57" s="6">
        <v>0</v>
      </c>
      <c r="AC57" s="6"/>
      <c r="AD57" s="6">
        <v>6292.9</v>
      </c>
      <c r="AE57" s="6"/>
      <c r="AF57" s="73">
        <f t="shared" si="1"/>
        <v>621800.95999999996</v>
      </c>
    </row>
    <row r="58" spans="1:64">
      <c r="A58" s="4">
        <v>121</v>
      </c>
      <c r="B58" s="3" t="s">
        <v>109</v>
      </c>
      <c r="D58" s="3" t="s">
        <v>14</v>
      </c>
      <c r="F58" s="1">
        <v>16523.02</v>
      </c>
      <c r="G58" s="1"/>
      <c r="H58" s="1">
        <v>88429.07</v>
      </c>
      <c r="I58" s="1"/>
      <c r="J58" s="1">
        <v>72022.259999999995</v>
      </c>
      <c r="K58" s="1"/>
      <c r="L58" s="1">
        <v>16587.47</v>
      </c>
      <c r="M58" s="1"/>
      <c r="N58" s="1">
        <v>59770.68</v>
      </c>
      <c r="O58" s="1"/>
      <c r="P58" s="1">
        <v>0</v>
      </c>
      <c r="Q58" s="1"/>
      <c r="R58" s="1">
        <v>0</v>
      </c>
      <c r="S58" s="1"/>
      <c r="T58" s="1">
        <v>13033.43</v>
      </c>
      <c r="U58" s="1"/>
      <c r="V58" s="1">
        <v>0</v>
      </c>
      <c r="W58" s="1"/>
      <c r="X58" s="1">
        <v>0</v>
      </c>
      <c r="Y58" s="1"/>
      <c r="Z58" s="1">
        <v>0</v>
      </c>
      <c r="AA58" s="1"/>
      <c r="AB58" s="1">
        <v>0</v>
      </c>
      <c r="AC58" s="1"/>
      <c r="AD58" s="1">
        <v>0</v>
      </c>
      <c r="AE58" s="4"/>
      <c r="AF58" s="77">
        <f t="shared" si="1"/>
        <v>266365.93</v>
      </c>
    </row>
    <row r="59" spans="1:64">
      <c r="A59" s="4">
        <v>28</v>
      </c>
      <c r="B59" s="3" t="s">
        <v>584</v>
      </c>
      <c r="D59" s="3" t="s">
        <v>60</v>
      </c>
      <c r="F59" s="6">
        <v>0</v>
      </c>
      <c r="G59" s="6"/>
      <c r="H59" s="6">
        <v>527766</v>
      </c>
      <c r="I59" s="6"/>
      <c r="J59" s="6">
        <v>146927.56</v>
      </c>
      <c r="K59" s="6"/>
      <c r="L59" s="6">
        <v>166998.70000000001</v>
      </c>
      <c r="M59" s="6"/>
      <c r="N59" s="6">
        <v>41279.64</v>
      </c>
      <c r="O59" s="6"/>
      <c r="P59" s="6">
        <v>0</v>
      </c>
      <c r="Q59" s="6"/>
      <c r="R59" s="6">
        <v>0</v>
      </c>
      <c r="S59" s="6"/>
      <c r="T59" s="6">
        <v>0</v>
      </c>
      <c r="U59" s="6"/>
      <c r="V59" s="6">
        <v>0</v>
      </c>
      <c r="W59" s="6"/>
      <c r="X59" s="6">
        <v>0</v>
      </c>
      <c r="Y59" s="6"/>
      <c r="Z59" s="6">
        <v>0</v>
      </c>
      <c r="AA59" s="6"/>
      <c r="AB59" s="6">
        <v>0</v>
      </c>
      <c r="AC59" s="6"/>
      <c r="AD59" s="6">
        <v>0</v>
      </c>
      <c r="AE59" s="6"/>
      <c r="AF59" s="73">
        <f t="shared" si="1"/>
        <v>882971.9</v>
      </c>
    </row>
    <row r="60" spans="1:64">
      <c r="A60" s="4">
        <v>199</v>
      </c>
      <c r="B60" s="35" t="s">
        <v>560</v>
      </c>
      <c r="C60" s="35"/>
      <c r="D60" s="35" t="s">
        <v>497</v>
      </c>
      <c r="E60" s="35"/>
      <c r="F60" s="6">
        <v>0</v>
      </c>
      <c r="G60" s="6"/>
      <c r="H60" s="6">
        <v>2539317.92</v>
      </c>
      <c r="I60" s="6"/>
      <c r="J60" s="6">
        <v>0</v>
      </c>
      <c r="K60" s="6"/>
      <c r="L60" s="6">
        <v>0</v>
      </c>
      <c r="M60" s="6"/>
      <c r="N60" s="6">
        <v>0</v>
      </c>
      <c r="O60" s="6"/>
      <c r="P60" s="6">
        <v>0</v>
      </c>
      <c r="Q60" s="6"/>
      <c r="R60" s="6">
        <v>0</v>
      </c>
      <c r="S60" s="6"/>
      <c r="T60" s="6">
        <v>113081.84</v>
      </c>
      <c r="U60" s="6"/>
      <c r="V60" s="6">
        <v>0</v>
      </c>
      <c r="W60" s="6"/>
      <c r="X60" s="6">
        <v>0</v>
      </c>
      <c r="Y60" s="6"/>
      <c r="Z60" s="6">
        <v>76384.429999999993</v>
      </c>
      <c r="AA60" s="6"/>
      <c r="AB60" s="6">
        <v>502246.47</v>
      </c>
      <c r="AC60" s="6"/>
      <c r="AD60" s="6">
        <v>0</v>
      </c>
      <c r="AE60" s="6"/>
      <c r="AF60" s="73">
        <f t="shared" si="1"/>
        <v>3231030.66</v>
      </c>
    </row>
    <row r="61" spans="1:64" hidden="1">
      <c r="A61" s="4">
        <v>199</v>
      </c>
      <c r="B61" s="35" t="s">
        <v>613</v>
      </c>
      <c r="C61" s="35"/>
      <c r="D61" s="35" t="s">
        <v>569</v>
      </c>
      <c r="E61" s="3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5"/>
      <c r="AF61" s="77">
        <f t="shared" si="1"/>
        <v>0</v>
      </c>
    </row>
    <row r="62" spans="1:64">
      <c r="A62" s="4">
        <v>32</v>
      </c>
      <c r="B62" s="3" t="s">
        <v>111</v>
      </c>
      <c r="D62" s="3" t="s">
        <v>112</v>
      </c>
      <c r="F62" s="1">
        <v>702967</v>
      </c>
      <c r="G62" s="1"/>
      <c r="H62" s="1">
        <f>507953+2019779+877328</f>
        <v>3405060</v>
      </c>
      <c r="I62" s="1"/>
      <c r="J62" s="1">
        <v>0</v>
      </c>
      <c r="K62" s="1"/>
      <c r="L62" s="1">
        <v>0</v>
      </c>
      <c r="M62" s="1"/>
      <c r="N62" s="1">
        <v>0</v>
      </c>
      <c r="O62" s="1"/>
      <c r="P62" s="1">
        <v>43602</v>
      </c>
      <c r="Q62" s="1"/>
      <c r="R62" s="1">
        <v>12188</v>
      </c>
      <c r="S62" s="1"/>
      <c r="T62" s="1">
        <v>231165</v>
      </c>
      <c r="U62" s="1"/>
      <c r="V62" s="1">
        <v>0</v>
      </c>
      <c r="W62" s="1"/>
      <c r="X62" s="1">
        <v>0</v>
      </c>
      <c r="Y62" s="1"/>
      <c r="Z62" s="1">
        <v>0</v>
      </c>
      <c r="AA62" s="1"/>
      <c r="AB62" s="1">
        <v>0</v>
      </c>
      <c r="AC62" s="1"/>
      <c r="AD62" s="1">
        <v>0</v>
      </c>
      <c r="AE62" s="4"/>
      <c r="AF62" s="77">
        <f t="shared" si="1"/>
        <v>4394982</v>
      </c>
    </row>
    <row r="63" spans="1:64">
      <c r="A63" s="4">
        <v>231</v>
      </c>
      <c r="B63" s="35" t="s">
        <v>299</v>
      </c>
      <c r="C63" s="35"/>
      <c r="D63" s="35" t="s">
        <v>494</v>
      </c>
      <c r="E63" s="35"/>
      <c r="F63" s="6">
        <v>0</v>
      </c>
      <c r="G63" s="6"/>
      <c r="H63" s="6">
        <v>284911.07</v>
      </c>
      <c r="I63" s="6"/>
      <c r="J63" s="6">
        <v>0</v>
      </c>
      <c r="K63" s="6"/>
      <c r="L63" s="6">
        <v>0</v>
      </c>
      <c r="M63" s="6"/>
      <c r="N63" s="6">
        <v>0</v>
      </c>
      <c r="O63" s="6"/>
      <c r="P63" s="6">
        <v>0</v>
      </c>
      <c r="Q63" s="6"/>
      <c r="R63" s="6">
        <v>0</v>
      </c>
      <c r="S63" s="6"/>
      <c r="T63" s="6">
        <v>1865.7</v>
      </c>
      <c r="U63" s="6"/>
      <c r="V63" s="6">
        <v>0</v>
      </c>
      <c r="W63" s="6"/>
      <c r="X63" s="6">
        <v>0</v>
      </c>
      <c r="Y63" s="6"/>
      <c r="Z63" s="6">
        <v>0</v>
      </c>
      <c r="AA63" s="6"/>
      <c r="AB63" s="6">
        <v>0</v>
      </c>
      <c r="AC63" s="6"/>
      <c r="AD63" s="6">
        <v>0</v>
      </c>
      <c r="AE63" s="6"/>
      <c r="AF63" s="73">
        <f t="shared" si="1"/>
        <v>286776.77</v>
      </c>
      <c r="AG63" s="47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4"/>
    </row>
    <row r="64" spans="1:64">
      <c r="A64" s="4">
        <v>34</v>
      </c>
      <c r="B64" s="3" t="s">
        <v>113</v>
      </c>
      <c r="D64" s="3" t="s">
        <v>114</v>
      </c>
      <c r="F64" s="1">
        <v>361360</v>
      </c>
      <c r="G64" s="1"/>
      <c r="H64" s="1">
        <v>3243787</v>
      </c>
      <c r="I64" s="1"/>
      <c r="J64" s="1">
        <v>1442436</v>
      </c>
      <c r="K64" s="1"/>
      <c r="L64" s="1">
        <v>971029</v>
      </c>
      <c r="M64" s="1"/>
      <c r="N64" s="1">
        <v>560764</v>
      </c>
      <c r="O64" s="1"/>
      <c r="P64" s="1">
        <v>0</v>
      </c>
      <c r="Q64" s="1"/>
      <c r="R64" s="1">
        <v>0</v>
      </c>
      <c r="S64" s="1"/>
      <c r="T64" s="1">
        <v>25383</v>
      </c>
      <c r="U64" s="1"/>
      <c r="V64" s="1">
        <v>0</v>
      </c>
      <c r="W64" s="1"/>
      <c r="X64" s="1">
        <v>0</v>
      </c>
      <c r="Y64" s="1"/>
      <c r="Z64" s="1">
        <v>1601900</v>
      </c>
      <c r="AA64" s="1"/>
      <c r="AB64" s="1">
        <v>0</v>
      </c>
      <c r="AC64" s="1"/>
      <c r="AD64" s="1">
        <v>3892</v>
      </c>
      <c r="AE64" s="4"/>
      <c r="AF64" s="77">
        <f t="shared" si="1"/>
        <v>8210551</v>
      </c>
    </row>
    <row r="65" spans="1:64">
      <c r="A65" s="4">
        <v>49</v>
      </c>
      <c r="B65" s="3" t="s">
        <v>421</v>
      </c>
      <c r="D65" s="3" t="s">
        <v>17</v>
      </c>
      <c r="F65" s="1">
        <v>5437249</v>
      </c>
      <c r="G65" s="1"/>
      <c r="H65" s="1">
        <v>0</v>
      </c>
      <c r="I65" s="1"/>
      <c r="J65" s="1">
        <v>0</v>
      </c>
      <c r="K65" s="1"/>
      <c r="L65" s="1">
        <v>0</v>
      </c>
      <c r="M65" s="1"/>
      <c r="N65" s="1">
        <v>1533270</v>
      </c>
      <c r="O65" s="1"/>
      <c r="P65" s="1">
        <v>0</v>
      </c>
      <c r="Q65" s="1"/>
      <c r="R65" s="1">
        <v>0</v>
      </c>
      <c r="S65" s="1"/>
      <c r="T65" s="1">
        <v>160399</v>
      </c>
      <c r="U65" s="1"/>
      <c r="V65" s="1">
        <v>82173</v>
      </c>
      <c r="W65" s="1"/>
      <c r="X65" s="1">
        <v>18729</v>
      </c>
      <c r="Y65" s="1"/>
      <c r="Z65" s="1">
        <v>563015</v>
      </c>
      <c r="AA65" s="1"/>
      <c r="AB65" s="1">
        <v>0</v>
      </c>
      <c r="AC65" s="1"/>
      <c r="AD65" s="1">
        <v>0</v>
      </c>
      <c r="AE65" s="4"/>
      <c r="AF65" s="77">
        <f t="shared" si="1"/>
        <v>7794835</v>
      </c>
    </row>
    <row r="66" spans="1:64">
      <c r="A66" s="4">
        <v>50</v>
      </c>
      <c r="B66" s="3" t="s">
        <v>422</v>
      </c>
      <c r="D66" s="3" t="s">
        <v>17</v>
      </c>
      <c r="F66" s="1">
        <v>34228103</v>
      </c>
      <c r="G66" s="1"/>
      <c r="H66" s="1">
        <v>0</v>
      </c>
      <c r="I66" s="1"/>
      <c r="J66" s="1">
        <v>0</v>
      </c>
      <c r="K66" s="1"/>
      <c r="L66" s="1">
        <v>0</v>
      </c>
      <c r="M66" s="1"/>
      <c r="N66" s="1">
        <v>21564585</v>
      </c>
      <c r="O66" s="1"/>
      <c r="P66" s="1">
        <v>0</v>
      </c>
      <c r="Q66" s="1"/>
      <c r="R66" s="1">
        <v>0</v>
      </c>
      <c r="S66" s="1"/>
      <c r="T66" s="1">
        <v>818986</v>
      </c>
      <c r="U66" s="1"/>
      <c r="V66" s="1">
        <v>0</v>
      </c>
      <c r="W66" s="1"/>
      <c r="X66" s="1">
        <v>0</v>
      </c>
      <c r="Y66" s="1"/>
      <c r="Z66" s="1">
        <v>5000000</v>
      </c>
      <c r="AA66" s="1"/>
      <c r="AB66" s="1">
        <v>0</v>
      </c>
      <c r="AC66" s="1"/>
      <c r="AD66" s="1">
        <v>0</v>
      </c>
      <c r="AE66" s="4"/>
      <c r="AF66" s="77">
        <f t="shared" si="1"/>
        <v>61611674</v>
      </c>
      <c r="AG66" s="47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4"/>
    </row>
    <row r="67" spans="1:64">
      <c r="A67" s="4">
        <v>201</v>
      </c>
      <c r="B67" s="3" t="s">
        <v>115</v>
      </c>
      <c r="D67" s="3" t="s">
        <v>92</v>
      </c>
      <c r="F67" s="6">
        <v>0</v>
      </c>
      <c r="G67" s="6"/>
      <c r="H67" s="6">
        <v>511570.15</v>
      </c>
      <c r="I67" s="6"/>
      <c r="J67" s="6">
        <v>0</v>
      </c>
      <c r="K67" s="6"/>
      <c r="L67" s="6">
        <v>0</v>
      </c>
      <c r="M67" s="6"/>
      <c r="N67" s="6">
        <v>0</v>
      </c>
      <c r="O67" s="6"/>
      <c r="P67" s="6">
        <v>0</v>
      </c>
      <c r="Q67" s="6"/>
      <c r="R67" s="6">
        <v>0</v>
      </c>
      <c r="S67" s="6"/>
      <c r="T67" s="6">
        <v>0</v>
      </c>
      <c r="U67" s="6"/>
      <c r="V67" s="6">
        <v>0</v>
      </c>
      <c r="W67" s="6"/>
      <c r="X67" s="6">
        <v>0</v>
      </c>
      <c r="Y67" s="6"/>
      <c r="Z67" s="6">
        <v>75589.66</v>
      </c>
      <c r="AA67" s="6"/>
      <c r="AB67" s="6">
        <v>0</v>
      </c>
      <c r="AC67" s="6"/>
      <c r="AD67" s="6">
        <v>0</v>
      </c>
      <c r="AE67" s="6"/>
      <c r="AF67" s="73">
        <f t="shared" si="1"/>
        <v>587159.81000000006</v>
      </c>
    </row>
    <row r="68" spans="1:64">
      <c r="A68" s="4">
        <v>158</v>
      </c>
      <c r="B68" s="3" t="s">
        <v>70</v>
      </c>
      <c r="D68" s="3" t="s">
        <v>48</v>
      </c>
      <c r="F68" s="6">
        <v>0</v>
      </c>
      <c r="G68" s="6"/>
      <c r="H68" s="6">
        <v>194670.44</v>
      </c>
      <c r="I68" s="6"/>
      <c r="J68" s="6">
        <v>0</v>
      </c>
      <c r="K68" s="6"/>
      <c r="L68" s="6">
        <v>0</v>
      </c>
      <c r="M68" s="6"/>
      <c r="N68" s="6">
        <v>0</v>
      </c>
      <c r="O68" s="6"/>
      <c r="P68" s="6">
        <v>0</v>
      </c>
      <c r="Q68" s="6"/>
      <c r="R68" s="6">
        <v>0</v>
      </c>
      <c r="S68" s="6"/>
      <c r="T68" s="6">
        <v>1649.46</v>
      </c>
      <c r="U68" s="6"/>
      <c r="V68" s="6">
        <v>0</v>
      </c>
      <c r="W68" s="6"/>
      <c r="X68" s="6">
        <v>0</v>
      </c>
      <c r="Y68" s="6"/>
      <c r="Z68" s="6">
        <v>0</v>
      </c>
      <c r="AA68" s="6"/>
      <c r="AB68" s="6">
        <v>0</v>
      </c>
      <c r="AC68" s="6"/>
      <c r="AD68" s="6">
        <v>0</v>
      </c>
      <c r="AE68" s="6"/>
      <c r="AF68" s="73">
        <f t="shared" si="1"/>
        <v>196319.9</v>
      </c>
    </row>
    <row r="69" spans="1:64">
      <c r="A69" s="4">
        <v>38</v>
      </c>
      <c r="B69" s="35" t="s">
        <v>447</v>
      </c>
      <c r="C69" s="35"/>
      <c r="D69" s="35" t="s">
        <v>474</v>
      </c>
      <c r="E69" s="35"/>
      <c r="F69" s="6">
        <v>0</v>
      </c>
      <c r="G69" s="6"/>
      <c r="H69" s="6">
        <v>677472.7</v>
      </c>
      <c r="I69" s="6"/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0</v>
      </c>
      <c r="S69" s="6"/>
      <c r="T69" s="6">
        <v>0</v>
      </c>
      <c r="U69" s="6"/>
      <c r="V69" s="6">
        <v>0</v>
      </c>
      <c r="W69" s="6"/>
      <c r="X69" s="6">
        <v>0</v>
      </c>
      <c r="Y69" s="6"/>
      <c r="Z69" s="6">
        <v>0</v>
      </c>
      <c r="AA69" s="6"/>
      <c r="AB69" s="6">
        <v>0</v>
      </c>
      <c r="AC69" s="6"/>
      <c r="AD69" s="6">
        <v>0</v>
      </c>
      <c r="AE69" s="6"/>
      <c r="AF69" s="73">
        <f t="shared" si="1"/>
        <v>677472.7</v>
      </c>
      <c r="AG69" s="47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4"/>
    </row>
    <row r="70" spans="1:64">
      <c r="A70" s="4">
        <v>76</v>
      </c>
      <c r="B70" s="3" t="s">
        <v>116</v>
      </c>
      <c r="D70" s="3" t="s">
        <v>90</v>
      </c>
      <c r="F70" s="1">
        <v>5672632</v>
      </c>
      <c r="G70" s="1"/>
      <c r="H70" s="1">
        <v>23780010</v>
      </c>
      <c r="I70" s="1"/>
      <c r="J70" s="1">
        <v>9171047</v>
      </c>
      <c r="K70" s="1"/>
      <c r="L70" s="1">
        <v>6093495</v>
      </c>
      <c r="M70" s="1"/>
      <c r="N70" s="1">
        <v>8546799</v>
      </c>
      <c r="O70" s="1"/>
      <c r="P70" s="1">
        <v>0</v>
      </c>
      <c r="Q70" s="1"/>
      <c r="R70" s="1">
        <v>0</v>
      </c>
      <c r="S70" s="1"/>
      <c r="T70" s="1">
        <v>63180</v>
      </c>
      <c r="U70" s="1"/>
      <c r="V70" s="1">
        <v>0</v>
      </c>
      <c r="W70" s="1"/>
      <c r="X70" s="1">
        <v>0</v>
      </c>
      <c r="Y70" s="1"/>
      <c r="Z70" s="1">
        <v>24461063</v>
      </c>
      <c r="AA70" s="1"/>
      <c r="AB70" s="1">
        <v>0</v>
      </c>
      <c r="AC70" s="1"/>
      <c r="AD70" s="1">
        <v>0</v>
      </c>
      <c r="AE70" s="4"/>
      <c r="AF70" s="77">
        <f t="shared" si="1"/>
        <v>77788226</v>
      </c>
      <c r="AI70" s="4"/>
    </row>
    <row r="71" spans="1:64">
      <c r="A71" s="4">
        <v>63</v>
      </c>
      <c r="B71" s="3" t="s">
        <v>359</v>
      </c>
      <c r="D71" s="4" t="s">
        <v>68</v>
      </c>
      <c r="F71" s="6">
        <v>0</v>
      </c>
      <c r="G71" s="6"/>
      <c r="H71" s="6">
        <v>834618.49</v>
      </c>
      <c r="I71" s="6"/>
      <c r="J71" s="6">
        <v>0</v>
      </c>
      <c r="K71" s="6"/>
      <c r="L71" s="6">
        <v>0</v>
      </c>
      <c r="M71" s="6"/>
      <c r="N71" s="6">
        <v>0</v>
      </c>
      <c r="O71" s="6"/>
      <c r="P71" s="6">
        <v>0</v>
      </c>
      <c r="Q71" s="6"/>
      <c r="R71" s="6">
        <v>0</v>
      </c>
      <c r="S71" s="6"/>
      <c r="T71" s="6">
        <v>60914.81</v>
      </c>
      <c r="U71" s="6"/>
      <c r="V71" s="6">
        <v>0</v>
      </c>
      <c r="W71" s="6"/>
      <c r="X71" s="6">
        <v>0</v>
      </c>
      <c r="Y71" s="6"/>
      <c r="Z71" s="6">
        <v>59934.1</v>
      </c>
      <c r="AA71" s="6"/>
      <c r="AB71" s="6">
        <v>0</v>
      </c>
      <c r="AC71" s="6"/>
      <c r="AD71" s="6">
        <v>0</v>
      </c>
      <c r="AE71" s="6"/>
      <c r="AF71" s="73">
        <f t="shared" si="1"/>
        <v>955467.4</v>
      </c>
      <c r="AI71" s="4"/>
    </row>
    <row r="72" spans="1:64">
      <c r="A72" s="4">
        <v>10</v>
      </c>
      <c r="B72" s="3" t="s">
        <v>117</v>
      </c>
      <c r="D72" s="3" t="s">
        <v>41</v>
      </c>
      <c r="F72" s="1">
        <v>3910</v>
      </c>
      <c r="G72" s="1"/>
      <c r="H72" s="1">
        <v>381585</v>
      </c>
      <c r="I72" s="1"/>
      <c r="J72" s="1">
        <v>32717</v>
      </c>
      <c r="K72" s="1"/>
      <c r="L72" s="1">
        <v>48971</v>
      </c>
      <c r="M72" s="1"/>
      <c r="N72" s="1">
        <v>12077</v>
      </c>
      <c r="O72" s="1"/>
      <c r="P72" s="1">
        <v>0</v>
      </c>
      <c r="Q72" s="1"/>
      <c r="R72" s="1">
        <v>0</v>
      </c>
      <c r="S72" s="1"/>
      <c r="T72" s="1">
        <v>14731</v>
      </c>
      <c r="U72" s="1"/>
      <c r="V72" s="1">
        <v>0</v>
      </c>
      <c r="W72" s="1"/>
      <c r="X72" s="1">
        <v>0</v>
      </c>
      <c r="Y72" s="1"/>
      <c r="Z72" s="1">
        <v>0</v>
      </c>
      <c r="AA72" s="1"/>
      <c r="AB72" s="1">
        <v>0</v>
      </c>
      <c r="AC72" s="1"/>
      <c r="AD72" s="1">
        <v>0</v>
      </c>
      <c r="AE72" s="4"/>
      <c r="AF72" s="77">
        <f t="shared" ref="AF72:AF87" si="2">SUM(F72:AD72)</f>
        <v>493991</v>
      </c>
      <c r="AI72" s="4"/>
    </row>
    <row r="73" spans="1:64">
      <c r="A73" s="4">
        <v>45</v>
      </c>
      <c r="B73" s="3" t="s">
        <v>118</v>
      </c>
      <c r="D73" s="3" t="s">
        <v>119</v>
      </c>
      <c r="F73" s="3">
        <v>0</v>
      </c>
      <c r="G73" s="1"/>
      <c r="H73" s="1">
        <v>1050459</v>
      </c>
      <c r="I73" s="1"/>
      <c r="J73" s="1">
        <v>0</v>
      </c>
      <c r="K73" s="1"/>
      <c r="L73" s="1">
        <v>0</v>
      </c>
      <c r="M73" s="1"/>
      <c r="N73" s="1">
        <v>0</v>
      </c>
      <c r="O73" s="1"/>
      <c r="P73" s="1">
        <v>0</v>
      </c>
      <c r="Q73" s="1"/>
      <c r="R73" s="1">
        <v>0</v>
      </c>
      <c r="S73" s="1"/>
      <c r="T73" s="1">
        <v>587</v>
      </c>
      <c r="U73" s="1"/>
      <c r="V73" s="1">
        <v>0</v>
      </c>
      <c r="W73" s="1"/>
      <c r="X73" s="1">
        <v>0</v>
      </c>
      <c r="Y73" s="1"/>
      <c r="Z73" s="1">
        <v>78133</v>
      </c>
      <c r="AA73" s="1"/>
      <c r="AB73" s="1">
        <v>18006</v>
      </c>
      <c r="AC73" s="1"/>
      <c r="AD73" s="1">
        <v>0</v>
      </c>
      <c r="AE73" s="4"/>
      <c r="AF73" s="77">
        <f t="shared" si="2"/>
        <v>1147185</v>
      </c>
      <c r="AI73" s="4"/>
    </row>
    <row r="74" spans="1:64">
      <c r="A74" s="4">
        <v>47</v>
      </c>
      <c r="B74" s="35" t="s">
        <v>120</v>
      </c>
      <c r="C74" s="35"/>
      <c r="D74" s="35" t="s">
        <v>475</v>
      </c>
      <c r="E74" s="35"/>
      <c r="F74" s="6">
        <v>0</v>
      </c>
      <c r="G74" s="6"/>
      <c r="H74" s="6">
        <v>0</v>
      </c>
      <c r="I74" s="6"/>
      <c r="J74" s="6">
        <v>0</v>
      </c>
      <c r="K74" s="6"/>
      <c r="L74" s="6">
        <v>0</v>
      </c>
      <c r="M74" s="6"/>
      <c r="N74" s="6">
        <v>0</v>
      </c>
      <c r="O74" s="6"/>
      <c r="P74" s="6">
        <v>0</v>
      </c>
      <c r="Q74" s="6"/>
      <c r="R74" s="6">
        <v>0</v>
      </c>
      <c r="S74" s="6"/>
      <c r="T74" s="6">
        <v>10449</v>
      </c>
      <c r="U74" s="6"/>
      <c r="V74" s="6">
        <v>0</v>
      </c>
      <c r="W74" s="6"/>
      <c r="X74" s="6">
        <v>0</v>
      </c>
      <c r="Y74" s="6"/>
      <c r="Z74" s="6">
        <v>0</v>
      </c>
      <c r="AA74" s="6"/>
      <c r="AB74" s="6">
        <v>0</v>
      </c>
      <c r="AC74" s="6"/>
      <c r="AD74" s="6">
        <v>0</v>
      </c>
      <c r="AE74" s="6"/>
      <c r="AF74" s="73">
        <f t="shared" si="2"/>
        <v>10449</v>
      </c>
      <c r="AI74" s="4"/>
    </row>
    <row r="75" spans="1:64">
      <c r="A75" s="4">
        <v>51</v>
      </c>
      <c r="B75" s="3" t="s">
        <v>585</v>
      </c>
      <c r="D75" s="3" t="s">
        <v>17</v>
      </c>
      <c r="F75" s="1">
        <v>0</v>
      </c>
      <c r="G75" s="1"/>
      <c r="H75" s="1">
        <v>37337457</v>
      </c>
      <c r="I75" s="1"/>
      <c r="J75" s="1">
        <v>2961288</v>
      </c>
      <c r="K75" s="1"/>
      <c r="L75" s="1">
        <v>5348036</v>
      </c>
      <c r="M75" s="1"/>
      <c r="N75" s="1">
        <v>12640545</v>
      </c>
      <c r="O75" s="1"/>
      <c r="P75" s="1">
        <v>0</v>
      </c>
      <c r="Q75" s="1"/>
      <c r="R75" s="1">
        <v>0</v>
      </c>
      <c r="S75" s="1"/>
      <c r="T75" s="1">
        <v>1318199</v>
      </c>
      <c r="U75" s="1"/>
      <c r="V75" s="1">
        <v>0</v>
      </c>
      <c r="W75" s="1"/>
      <c r="X75" s="1">
        <v>0</v>
      </c>
      <c r="Y75" s="1"/>
      <c r="Z75" s="1">
        <v>12092755</v>
      </c>
      <c r="AA75" s="1"/>
      <c r="AB75" s="1">
        <v>0</v>
      </c>
      <c r="AC75" s="1"/>
      <c r="AD75" s="1">
        <v>0</v>
      </c>
      <c r="AE75" s="4"/>
      <c r="AF75" s="77">
        <f t="shared" si="2"/>
        <v>71698280</v>
      </c>
      <c r="AG75" s="47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4"/>
    </row>
    <row r="76" spans="1:64">
      <c r="A76" s="4"/>
      <c r="B76" s="4" t="s">
        <v>606</v>
      </c>
      <c r="C76" s="4"/>
      <c r="D76" s="4" t="s">
        <v>20</v>
      </c>
      <c r="F76" s="1">
        <v>315313</v>
      </c>
      <c r="G76" s="1"/>
      <c r="H76" s="1">
        <f>414501+1417710</f>
        <v>1832211</v>
      </c>
      <c r="I76" s="1"/>
      <c r="J76" s="1">
        <v>0</v>
      </c>
      <c r="K76" s="1"/>
      <c r="L76" s="1">
        <v>0</v>
      </c>
      <c r="M76" s="1"/>
      <c r="N76" s="1">
        <v>0</v>
      </c>
      <c r="O76" s="1"/>
      <c r="P76" s="1">
        <v>46223</v>
      </c>
      <c r="Q76" s="1"/>
      <c r="R76" s="1">
        <v>9468</v>
      </c>
      <c r="S76" s="1"/>
      <c r="T76" s="1">
        <v>45860</v>
      </c>
      <c r="U76" s="1"/>
      <c r="V76" s="1">
        <v>0</v>
      </c>
      <c r="W76" s="1"/>
      <c r="X76" s="1">
        <v>0</v>
      </c>
      <c r="Y76" s="1"/>
      <c r="Z76" s="1">
        <v>0</v>
      </c>
      <c r="AA76" s="1"/>
      <c r="AB76" s="1">
        <v>0</v>
      </c>
      <c r="AC76" s="1"/>
      <c r="AD76" s="1">
        <v>0</v>
      </c>
      <c r="AE76" s="4"/>
      <c r="AF76" s="77">
        <f t="shared" si="2"/>
        <v>2249075</v>
      </c>
      <c r="AG76" s="47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4"/>
    </row>
    <row r="77" spans="1:64">
      <c r="A77" s="4">
        <v>169</v>
      </c>
      <c r="B77" s="3" t="s">
        <v>122</v>
      </c>
      <c r="D77" s="3" t="s">
        <v>53</v>
      </c>
      <c r="F77" s="1">
        <v>942984</v>
      </c>
      <c r="G77" s="1"/>
      <c r="H77" s="1">
        <v>15458871</v>
      </c>
      <c r="I77" s="1"/>
      <c r="J77" s="1">
        <v>5229533</v>
      </c>
      <c r="K77" s="1"/>
      <c r="L77" s="1">
        <v>537157</v>
      </c>
      <c r="M77" s="1"/>
      <c r="N77" s="1">
        <v>2864678</v>
      </c>
      <c r="O77" s="1"/>
      <c r="P77" s="1">
        <v>0</v>
      </c>
      <c r="Q77" s="1"/>
      <c r="R77" s="1">
        <v>0</v>
      </c>
      <c r="S77" s="1"/>
      <c r="T77" s="1">
        <v>520117</v>
      </c>
      <c r="U77" s="1"/>
      <c r="V77" s="1">
        <v>0</v>
      </c>
      <c r="W77" s="1"/>
      <c r="X77" s="1">
        <v>0</v>
      </c>
      <c r="Y77" s="1"/>
      <c r="Z77" s="1">
        <v>23795</v>
      </c>
      <c r="AA77" s="1"/>
      <c r="AB77" s="1">
        <v>0</v>
      </c>
      <c r="AC77" s="1"/>
      <c r="AD77" s="1">
        <v>0</v>
      </c>
      <c r="AE77" s="4"/>
      <c r="AF77" s="77">
        <f t="shared" si="2"/>
        <v>25577135</v>
      </c>
    </row>
    <row r="78" spans="1:64">
      <c r="A78" s="4">
        <v>62</v>
      </c>
      <c r="B78" s="3" t="s">
        <v>123</v>
      </c>
      <c r="D78" s="3" t="s">
        <v>124</v>
      </c>
      <c r="F78" s="1">
        <v>0</v>
      </c>
      <c r="G78" s="1"/>
      <c r="H78" s="1">
        <v>1485374</v>
      </c>
      <c r="I78" s="1"/>
      <c r="J78" s="1">
        <v>0</v>
      </c>
      <c r="K78" s="1"/>
      <c r="L78" s="1">
        <v>0</v>
      </c>
      <c r="M78" s="1"/>
      <c r="N78" s="1">
        <v>0</v>
      </c>
      <c r="O78" s="1"/>
      <c r="P78" s="1">
        <v>0</v>
      </c>
      <c r="Q78" s="1"/>
      <c r="R78" s="1">
        <v>0</v>
      </c>
      <c r="S78" s="1"/>
      <c r="T78" s="1">
        <v>69735</v>
      </c>
      <c r="U78" s="1"/>
      <c r="V78" s="1">
        <v>0</v>
      </c>
      <c r="W78" s="1"/>
      <c r="X78" s="1">
        <v>0</v>
      </c>
      <c r="Y78" s="1"/>
      <c r="Z78" s="1">
        <v>165000</v>
      </c>
      <c r="AA78" s="1"/>
      <c r="AB78" s="1">
        <v>0</v>
      </c>
      <c r="AC78" s="1"/>
      <c r="AD78" s="1">
        <v>0</v>
      </c>
      <c r="AE78" s="4"/>
      <c r="AF78" s="77">
        <f t="shared" si="2"/>
        <v>1720109</v>
      </c>
      <c r="AI78" s="4"/>
    </row>
    <row r="79" spans="1:64">
      <c r="A79" s="4">
        <v>64</v>
      </c>
      <c r="B79" s="3" t="s">
        <v>125</v>
      </c>
      <c r="D79" s="3" t="s">
        <v>68</v>
      </c>
      <c r="F79" s="1">
        <v>0</v>
      </c>
      <c r="G79" s="1"/>
      <c r="H79" s="1">
        <v>4796562</v>
      </c>
      <c r="I79" s="1"/>
      <c r="J79" s="1">
        <v>0</v>
      </c>
      <c r="K79" s="1"/>
      <c r="L79" s="1">
        <v>0</v>
      </c>
      <c r="M79" s="1"/>
      <c r="N79" s="1">
        <v>0</v>
      </c>
      <c r="O79" s="1"/>
      <c r="P79" s="1">
        <v>0</v>
      </c>
      <c r="Q79" s="1"/>
      <c r="R79" s="1">
        <v>0</v>
      </c>
      <c r="S79" s="1"/>
      <c r="T79" s="1">
        <v>0</v>
      </c>
      <c r="U79" s="1"/>
      <c r="V79" s="1">
        <v>0</v>
      </c>
      <c r="W79" s="1"/>
      <c r="X79" s="1">
        <v>0</v>
      </c>
      <c r="Y79" s="1"/>
      <c r="Z79" s="1">
        <v>0</v>
      </c>
      <c r="AA79" s="1"/>
      <c r="AB79" s="1">
        <v>0</v>
      </c>
      <c r="AC79" s="1"/>
      <c r="AD79" s="1">
        <v>0</v>
      </c>
      <c r="AE79" s="4"/>
      <c r="AF79" s="77">
        <f t="shared" si="2"/>
        <v>4796562</v>
      </c>
    </row>
    <row r="80" spans="1:64">
      <c r="A80" s="4">
        <v>4</v>
      </c>
      <c r="B80" s="3" t="s">
        <v>126</v>
      </c>
      <c r="D80" s="3" t="s">
        <v>95</v>
      </c>
      <c r="F80" s="15">
        <v>0</v>
      </c>
      <c r="G80" s="15"/>
      <c r="H80" s="15">
        <v>0</v>
      </c>
      <c r="I80" s="15"/>
      <c r="J80" s="15">
        <v>0</v>
      </c>
      <c r="K80" s="15"/>
      <c r="L80" s="15">
        <v>0</v>
      </c>
      <c r="M80" s="15"/>
      <c r="N80" s="15">
        <v>0</v>
      </c>
      <c r="O80" s="15"/>
      <c r="P80" s="15">
        <v>0</v>
      </c>
      <c r="Q80" s="15"/>
      <c r="R80" s="15">
        <v>0</v>
      </c>
      <c r="S80" s="15"/>
      <c r="T80" s="15">
        <v>0</v>
      </c>
      <c r="U80" s="15"/>
      <c r="V80" s="15">
        <v>0</v>
      </c>
      <c r="W80" s="15"/>
      <c r="X80" s="15">
        <v>0</v>
      </c>
      <c r="Y80" s="15"/>
      <c r="Z80" s="15">
        <v>0</v>
      </c>
      <c r="AA80" s="15"/>
      <c r="AB80" s="15">
        <v>0</v>
      </c>
      <c r="AC80" s="15"/>
      <c r="AD80" s="15">
        <v>0</v>
      </c>
      <c r="AE80" s="15"/>
      <c r="AF80" s="77">
        <f t="shared" si="2"/>
        <v>0</v>
      </c>
      <c r="AI80" s="4"/>
    </row>
    <row r="81" spans="1:64">
      <c r="A81" s="4">
        <v>83</v>
      </c>
      <c r="B81" s="3" t="s">
        <v>127</v>
      </c>
      <c r="D81" s="3" t="s">
        <v>40</v>
      </c>
      <c r="F81" s="6">
        <v>0</v>
      </c>
      <c r="G81" s="6"/>
      <c r="H81" s="6">
        <v>388415.76</v>
      </c>
      <c r="I81" s="6"/>
      <c r="J81" s="6">
        <v>0</v>
      </c>
      <c r="K81" s="6"/>
      <c r="L81" s="6">
        <v>0</v>
      </c>
      <c r="M81" s="6"/>
      <c r="N81" s="6">
        <v>0</v>
      </c>
      <c r="O81" s="6"/>
      <c r="P81" s="6">
        <v>0</v>
      </c>
      <c r="Q81" s="6"/>
      <c r="R81" s="6">
        <v>0</v>
      </c>
      <c r="S81" s="6"/>
      <c r="T81" s="6">
        <v>11123.11</v>
      </c>
      <c r="U81" s="6"/>
      <c r="V81" s="6">
        <v>0</v>
      </c>
      <c r="W81" s="6"/>
      <c r="X81" s="6">
        <v>0</v>
      </c>
      <c r="Y81" s="6"/>
      <c r="Z81" s="6">
        <v>30222.6</v>
      </c>
      <c r="AA81" s="6"/>
      <c r="AB81" s="6">
        <v>0</v>
      </c>
      <c r="AC81" s="6"/>
      <c r="AD81" s="6">
        <v>0</v>
      </c>
      <c r="AE81" s="6"/>
      <c r="AF81" s="73">
        <f t="shared" si="2"/>
        <v>429761.47</v>
      </c>
      <c r="AI81" s="4"/>
    </row>
    <row r="82" spans="1:64">
      <c r="A82" s="4">
        <v>258</v>
      </c>
      <c r="B82" s="3" t="s">
        <v>128</v>
      </c>
      <c r="D82" s="3" t="s">
        <v>61</v>
      </c>
      <c r="F82" s="1">
        <v>14045</v>
      </c>
      <c r="G82" s="1"/>
      <c r="H82" s="1">
        <v>115992</v>
      </c>
      <c r="I82" s="1"/>
      <c r="J82" s="1">
        <v>36571</v>
      </c>
      <c r="K82" s="1"/>
      <c r="L82" s="1">
        <v>31961</v>
      </c>
      <c r="M82" s="1"/>
      <c r="N82" s="1">
        <v>113737</v>
      </c>
      <c r="O82" s="1"/>
      <c r="P82" s="1">
        <v>0</v>
      </c>
      <c r="Q82" s="1"/>
      <c r="R82" s="1">
        <v>0</v>
      </c>
      <c r="S82" s="1"/>
      <c r="T82" s="1">
        <v>21258</v>
      </c>
      <c r="U82" s="1"/>
      <c r="V82" s="1">
        <v>0</v>
      </c>
      <c r="W82" s="1"/>
      <c r="X82" s="1">
        <v>0</v>
      </c>
      <c r="Y82" s="1"/>
      <c r="Z82" s="1">
        <v>50000</v>
      </c>
      <c r="AA82" s="1"/>
      <c r="AB82" s="1">
        <v>0</v>
      </c>
      <c r="AC82" s="1"/>
      <c r="AD82" s="1">
        <v>0</v>
      </c>
      <c r="AE82" s="4"/>
      <c r="AF82" s="77">
        <f t="shared" si="2"/>
        <v>383564</v>
      </c>
      <c r="AI82" s="4"/>
    </row>
    <row r="83" spans="1:64">
      <c r="A83" s="4">
        <v>232</v>
      </c>
      <c r="B83" s="3" t="s">
        <v>129</v>
      </c>
      <c r="D83" s="3" t="s">
        <v>24</v>
      </c>
      <c r="F83" s="1">
        <v>0</v>
      </c>
      <c r="G83" s="1"/>
      <c r="H83" s="1">
        <v>712711</v>
      </c>
      <c r="I83" s="1"/>
      <c r="J83" s="1">
        <v>0</v>
      </c>
      <c r="K83" s="1"/>
      <c r="L83" s="1">
        <v>0</v>
      </c>
      <c r="M83" s="1"/>
      <c r="N83" s="1">
        <v>0</v>
      </c>
      <c r="O83" s="1"/>
      <c r="P83" s="1">
        <v>0</v>
      </c>
      <c r="Q83" s="1"/>
      <c r="R83" s="1">
        <v>0</v>
      </c>
      <c r="S83" s="1"/>
      <c r="T83" s="1">
        <v>0</v>
      </c>
      <c r="U83" s="1"/>
      <c r="V83" s="1">
        <v>0</v>
      </c>
      <c r="W83" s="1"/>
      <c r="X83" s="1">
        <v>0</v>
      </c>
      <c r="Y83" s="1"/>
      <c r="Z83" s="1">
        <v>0</v>
      </c>
      <c r="AA83" s="1"/>
      <c r="AB83" s="1">
        <v>0</v>
      </c>
      <c r="AC83" s="1"/>
      <c r="AD83" s="1">
        <v>0</v>
      </c>
      <c r="AE83" s="4"/>
      <c r="AF83" s="77">
        <f t="shared" si="2"/>
        <v>712711</v>
      </c>
      <c r="AI83" s="4"/>
    </row>
    <row r="84" spans="1:64">
      <c r="A84" s="4">
        <v>88</v>
      </c>
      <c r="B84" s="3" t="s">
        <v>332</v>
      </c>
      <c r="D84" s="3" t="s">
        <v>130</v>
      </c>
      <c r="F84" s="6">
        <v>0</v>
      </c>
      <c r="G84" s="6"/>
      <c r="H84" s="6">
        <v>1005512.24</v>
      </c>
      <c r="I84" s="6"/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0</v>
      </c>
      <c r="S84" s="6"/>
      <c r="T84" s="6">
        <v>33412.14</v>
      </c>
      <c r="U84" s="6"/>
      <c r="V84" s="6">
        <v>0</v>
      </c>
      <c r="W84" s="6"/>
      <c r="X84" s="6">
        <v>0</v>
      </c>
      <c r="Y84" s="6"/>
      <c r="Z84" s="6">
        <v>750000</v>
      </c>
      <c r="AA84" s="6"/>
      <c r="AB84" s="6">
        <v>0</v>
      </c>
      <c r="AC84" s="6"/>
      <c r="AD84" s="6">
        <v>0</v>
      </c>
      <c r="AE84" s="6"/>
      <c r="AF84" s="73">
        <f t="shared" si="2"/>
        <v>1788924.38</v>
      </c>
      <c r="AG84" s="47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4"/>
    </row>
    <row r="85" spans="1:64">
      <c r="A85" s="4">
        <v>138</v>
      </c>
      <c r="B85" s="35" t="s">
        <v>131</v>
      </c>
      <c r="C85" s="35"/>
      <c r="D85" s="35" t="s">
        <v>85</v>
      </c>
      <c r="E85" s="35"/>
      <c r="F85" s="1">
        <v>15717</v>
      </c>
      <c r="G85" s="1"/>
      <c r="H85" s="1">
        <f>11944+30818+4745</f>
        <v>47507</v>
      </c>
      <c r="I85" s="1"/>
      <c r="J85" s="1">
        <v>0</v>
      </c>
      <c r="K85" s="1"/>
      <c r="L85" s="1">
        <v>0</v>
      </c>
      <c r="M85" s="1"/>
      <c r="N85" s="1">
        <v>0</v>
      </c>
      <c r="O85" s="1"/>
      <c r="P85" s="1">
        <v>1858</v>
      </c>
      <c r="Q85" s="1"/>
      <c r="R85" s="1">
        <v>2969</v>
      </c>
      <c r="S85" s="1"/>
      <c r="T85" s="1">
        <v>0</v>
      </c>
      <c r="U85" s="1"/>
      <c r="V85" s="1">
        <v>0</v>
      </c>
      <c r="W85" s="1"/>
      <c r="X85" s="1">
        <v>0</v>
      </c>
      <c r="Y85" s="1"/>
      <c r="Z85" s="1">
        <v>0</v>
      </c>
      <c r="AA85" s="1"/>
      <c r="AB85" s="1">
        <v>0</v>
      </c>
      <c r="AC85" s="1"/>
      <c r="AD85" s="1">
        <v>0</v>
      </c>
      <c r="AE85" s="35"/>
      <c r="AF85" s="77">
        <f t="shared" si="2"/>
        <v>68051</v>
      </c>
    </row>
    <row r="86" spans="1:64">
      <c r="A86" s="4">
        <v>52</v>
      </c>
      <c r="B86" s="35" t="s">
        <v>449</v>
      </c>
      <c r="C86" s="35"/>
      <c r="D86" s="35" t="s">
        <v>476</v>
      </c>
      <c r="E86" s="35"/>
      <c r="F86" s="76">
        <v>0</v>
      </c>
      <c r="G86" s="76"/>
      <c r="H86" s="76">
        <v>2310102.23</v>
      </c>
      <c r="I86" s="76"/>
      <c r="J86" s="76">
        <v>0</v>
      </c>
      <c r="K86" s="76"/>
      <c r="L86" s="76">
        <v>0</v>
      </c>
      <c r="M86" s="76"/>
      <c r="N86" s="76">
        <v>0</v>
      </c>
      <c r="O86" s="76"/>
      <c r="P86" s="76">
        <v>0</v>
      </c>
      <c r="Q86" s="76"/>
      <c r="R86" s="76">
        <v>0</v>
      </c>
      <c r="S86" s="76"/>
      <c r="T86" s="76">
        <v>0</v>
      </c>
      <c r="U86" s="76"/>
      <c r="V86" s="76">
        <v>0</v>
      </c>
      <c r="W86" s="76"/>
      <c r="X86" s="76">
        <v>0</v>
      </c>
      <c r="Y86" s="76"/>
      <c r="Z86" s="76">
        <v>0</v>
      </c>
      <c r="AA86" s="76"/>
      <c r="AB86" s="76">
        <v>0</v>
      </c>
      <c r="AC86" s="76"/>
      <c r="AD86" s="76">
        <v>0</v>
      </c>
      <c r="AE86" s="76"/>
      <c r="AF86" s="73">
        <f t="shared" si="2"/>
        <v>2310102.23</v>
      </c>
    </row>
    <row r="87" spans="1:64">
      <c r="A87" s="4">
        <v>39</v>
      </c>
      <c r="B87" s="4" t="s">
        <v>556</v>
      </c>
      <c r="D87" s="3" t="s">
        <v>49</v>
      </c>
      <c r="F87" s="6">
        <v>77277.89</v>
      </c>
      <c r="G87" s="6"/>
      <c r="H87" s="6">
        <v>416546.86</v>
      </c>
      <c r="I87" s="6"/>
      <c r="J87" s="6">
        <v>0</v>
      </c>
      <c r="K87" s="6"/>
      <c r="L87" s="6">
        <v>7816.62</v>
      </c>
      <c r="M87" s="6"/>
      <c r="N87" s="6">
        <v>0</v>
      </c>
      <c r="O87" s="6"/>
      <c r="P87" s="6">
        <v>0</v>
      </c>
      <c r="Q87" s="6"/>
      <c r="R87" s="6">
        <v>0</v>
      </c>
      <c r="S87" s="6"/>
      <c r="T87" s="6">
        <v>0</v>
      </c>
      <c r="U87" s="6"/>
      <c r="V87" s="6">
        <v>0</v>
      </c>
      <c r="W87" s="6"/>
      <c r="X87" s="6">
        <v>0</v>
      </c>
      <c r="Y87" s="6"/>
      <c r="Z87" s="6">
        <v>0</v>
      </c>
      <c r="AA87" s="6"/>
      <c r="AB87" s="6">
        <v>0</v>
      </c>
      <c r="AC87" s="6"/>
      <c r="AD87" s="6">
        <v>0</v>
      </c>
      <c r="AE87" s="6"/>
      <c r="AF87" s="73">
        <f t="shared" si="2"/>
        <v>501641.37</v>
      </c>
    </row>
    <row r="88" spans="1:64">
      <c r="A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4"/>
      <c r="AF88" s="4"/>
    </row>
    <row r="89" spans="1:64" ht="14.25" customHeight="1">
      <c r="A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8" t="s">
        <v>580</v>
      </c>
      <c r="AG89" s="47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4"/>
    </row>
    <row r="90" spans="1:64">
      <c r="B90" s="3" t="s">
        <v>517</v>
      </c>
    </row>
    <row r="91" spans="1:64">
      <c r="B91" s="3" t="s">
        <v>626</v>
      </c>
    </row>
    <row r="92" spans="1:64">
      <c r="B92" s="41" t="s">
        <v>5</v>
      </c>
    </row>
    <row r="93" spans="1:64" s="36" customFormat="1">
      <c r="H93" s="36" t="s">
        <v>6</v>
      </c>
    </row>
    <row r="94" spans="1:64" s="36" customFormat="1">
      <c r="F94" s="36" t="s">
        <v>319</v>
      </c>
      <c r="H94" s="36" t="s">
        <v>548</v>
      </c>
      <c r="J94" s="36" t="s">
        <v>628</v>
      </c>
      <c r="L94" s="36" t="s">
        <v>547</v>
      </c>
      <c r="X94" s="36" t="s">
        <v>326</v>
      </c>
      <c r="AD94" s="36" t="s">
        <v>0</v>
      </c>
    </row>
    <row r="95" spans="1:64" s="36" customFormat="1">
      <c r="F95" s="36" t="s">
        <v>320</v>
      </c>
      <c r="H95" s="36" t="s">
        <v>321</v>
      </c>
      <c r="J95" s="36" t="s">
        <v>629</v>
      </c>
      <c r="L95" s="36" t="s">
        <v>545</v>
      </c>
      <c r="N95" s="36" t="s">
        <v>631</v>
      </c>
      <c r="T95" s="36" t="s">
        <v>28</v>
      </c>
      <c r="V95" s="36" t="s">
        <v>324</v>
      </c>
      <c r="X95" s="36" t="s">
        <v>327</v>
      </c>
      <c r="AD95" s="36" t="s">
        <v>294</v>
      </c>
    </row>
    <row r="96" spans="1:64" s="36" customFormat="1" ht="12" customHeight="1">
      <c r="A96" s="36" t="s">
        <v>567</v>
      </c>
      <c r="B96" s="37" t="s">
        <v>6</v>
      </c>
      <c r="D96" s="37" t="s">
        <v>4</v>
      </c>
      <c r="F96" s="37" t="s">
        <v>27</v>
      </c>
      <c r="H96" s="37" t="s">
        <v>322</v>
      </c>
      <c r="I96" s="44"/>
      <c r="J96" s="45" t="s">
        <v>630</v>
      </c>
      <c r="L96" s="37" t="s">
        <v>546</v>
      </c>
      <c r="M96" s="44"/>
      <c r="N96" s="37" t="s">
        <v>632</v>
      </c>
      <c r="P96" s="37" t="s">
        <v>2</v>
      </c>
      <c r="R96" s="37" t="s">
        <v>0</v>
      </c>
      <c r="T96" s="37" t="s">
        <v>323</v>
      </c>
      <c r="V96" s="37" t="s">
        <v>325</v>
      </c>
      <c r="X96" s="37" t="s">
        <v>328</v>
      </c>
      <c r="Z96" s="37" t="s">
        <v>499</v>
      </c>
      <c r="AB96" s="37" t="s">
        <v>500</v>
      </c>
      <c r="AD96" s="37" t="s">
        <v>329</v>
      </c>
      <c r="AF96" s="45" t="s">
        <v>26</v>
      </c>
    </row>
    <row r="97" spans="1:64">
      <c r="A97" s="4">
        <v>40</v>
      </c>
      <c r="B97" s="3" t="s">
        <v>132</v>
      </c>
      <c r="D97" s="3" t="s">
        <v>49</v>
      </c>
      <c r="F97" s="75">
        <v>0</v>
      </c>
      <c r="G97" s="75"/>
      <c r="H97" s="75">
        <v>346824.12</v>
      </c>
      <c r="I97" s="75"/>
      <c r="J97" s="75">
        <v>0</v>
      </c>
      <c r="K97" s="75"/>
      <c r="L97" s="75">
        <v>0</v>
      </c>
      <c r="M97" s="75"/>
      <c r="N97" s="75">
        <v>0</v>
      </c>
      <c r="O97" s="75"/>
      <c r="P97" s="75">
        <v>0</v>
      </c>
      <c r="Q97" s="75"/>
      <c r="R97" s="75">
        <v>0</v>
      </c>
      <c r="S97" s="75"/>
      <c r="T97" s="75">
        <v>0</v>
      </c>
      <c r="U97" s="75"/>
      <c r="V97" s="75">
        <v>0</v>
      </c>
      <c r="W97" s="75"/>
      <c r="X97" s="75">
        <v>0</v>
      </c>
      <c r="Y97" s="75"/>
      <c r="Z97" s="75">
        <v>0</v>
      </c>
      <c r="AA97" s="75"/>
      <c r="AB97" s="75">
        <v>0</v>
      </c>
      <c r="AC97" s="75"/>
      <c r="AD97" s="75">
        <v>0</v>
      </c>
      <c r="AE97" s="75"/>
      <c r="AF97" s="75">
        <f t="shared" ref="AF97:AF128" si="3">SUM(F97:AD97)</f>
        <v>346824.12</v>
      </c>
    </row>
    <row r="98" spans="1:64">
      <c r="A98" s="4">
        <v>155</v>
      </c>
      <c r="B98" s="3" t="s">
        <v>423</v>
      </c>
      <c r="D98" s="3" t="s">
        <v>18</v>
      </c>
      <c r="F98" s="1">
        <v>150220</v>
      </c>
      <c r="G98" s="1"/>
      <c r="H98" s="1">
        <v>499349</v>
      </c>
      <c r="I98" s="1"/>
      <c r="J98" s="1">
        <v>459729</v>
      </c>
      <c r="K98" s="1"/>
      <c r="L98" s="1">
        <v>197327</v>
      </c>
      <c r="M98" s="1"/>
      <c r="N98" s="1">
        <v>554481</v>
      </c>
      <c r="O98" s="1"/>
      <c r="P98" s="1">
        <v>0</v>
      </c>
      <c r="Q98" s="1"/>
      <c r="R98" s="1">
        <v>0</v>
      </c>
      <c r="S98" s="1"/>
      <c r="T98" s="1">
        <v>34619</v>
      </c>
      <c r="U98" s="1"/>
      <c r="V98" s="1">
        <v>0</v>
      </c>
      <c r="W98" s="1"/>
      <c r="X98" s="1">
        <v>0</v>
      </c>
      <c r="Y98" s="1"/>
      <c r="Z98" s="1">
        <v>5402</v>
      </c>
      <c r="AA98" s="1"/>
      <c r="AB98" s="1">
        <v>0</v>
      </c>
      <c r="AC98" s="1"/>
      <c r="AD98" s="1">
        <v>0</v>
      </c>
      <c r="AE98" s="4"/>
      <c r="AF98" s="4">
        <f t="shared" si="3"/>
        <v>1901127</v>
      </c>
    </row>
    <row r="99" spans="1:64" s="7" customFormat="1">
      <c r="A99" s="7">
        <v>142</v>
      </c>
      <c r="B99" s="7" t="s">
        <v>133</v>
      </c>
      <c r="D99" s="7" t="s">
        <v>55</v>
      </c>
      <c r="F99" s="1">
        <v>205466</v>
      </c>
      <c r="G99" s="1"/>
      <c r="H99" s="1">
        <v>10010</v>
      </c>
      <c r="I99" s="1"/>
      <c r="J99" s="1">
        <v>512551</v>
      </c>
      <c r="K99" s="1"/>
      <c r="L99" s="1">
        <v>291870</v>
      </c>
      <c r="M99" s="1"/>
      <c r="N99" s="1">
        <v>2403057</v>
      </c>
      <c r="O99" s="1"/>
      <c r="P99" s="1">
        <v>0</v>
      </c>
      <c r="Q99" s="1"/>
      <c r="R99" s="1">
        <v>0</v>
      </c>
      <c r="S99" s="1"/>
      <c r="T99" s="1">
        <v>43729</v>
      </c>
      <c r="U99" s="1"/>
      <c r="V99" s="1">
        <v>0</v>
      </c>
      <c r="W99" s="1"/>
      <c r="X99" s="1">
        <v>0</v>
      </c>
      <c r="Y99" s="1"/>
      <c r="Z99" s="1">
        <v>0</v>
      </c>
      <c r="AA99" s="1"/>
      <c r="AB99" s="1">
        <v>0</v>
      </c>
      <c r="AC99" s="1"/>
      <c r="AD99" s="1">
        <v>0</v>
      </c>
      <c r="AE99" s="4"/>
      <c r="AF99" s="4">
        <f t="shared" si="3"/>
        <v>3466683</v>
      </c>
      <c r="AG99" s="46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</row>
    <row r="100" spans="1:64">
      <c r="A100" s="4">
        <v>53</v>
      </c>
      <c r="B100" s="3" t="s">
        <v>16</v>
      </c>
      <c r="D100" s="3" t="s">
        <v>17</v>
      </c>
      <c r="F100" s="1">
        <v>582287</v>
      </c>
      <c r="G100" s="1"/>
      <c r="H100" s="1">
        <f>687496+3008107</f>
        <v>3695603</v>
      </c>
      <c r="I100" s="1"/>
      <c r="J100" s="1">
        <v>0</v>
      </c>
      <c r="K100" s="1"/>
      <c r="L100" s="1">
        <v>0</v>
      </c>
      <c r="M100" s="1"/>
      <c r="N100" s="1">
        <v>0</v>
      </c>
      <c r="O100" s="1"/>
      <c r="P100" s="1">
        <v>85609</v>
      </c>
      <c r="Q100" s="1"/>
      <c r="R100" s="1">
        <v>13284</v>
      </c>
      <c r="S100" s="1"/>
      <c r="T100" s="1">
        <v>74324</v>
      </c>
      <c r="U100" s="1"/>
      <c r="V100" s="1">
        <v>0</v>
      </c>
      <c r="W100" s="1"/>
      <c r="X100" s="1">
        <v>0</v>
      </c>
      <c r="Y100" s="1"/>
      <c r="Z100" s="1">
        <v>0</v>
      </c>
      <c r="AA100" s="1"/>
      <c r="AB100" s="1">
        <v>0</v>
      </c>
      <c r="AC100" s="1"/>
      <c r="AD100" s="1">
        <v>0</v>
      </c>
      <c r="AE100" s="4"/>
      <c r="AF100" s="4">
        <f t="shared" si="3"/>
        <v>4451107</v>
      </c>
      <c r="AR100" s="3">
        <v>1073.2</v>
      </c>
    </row>
    <row r="101" spans="1:64">
      <c r="A101" s="4">
        <v>84</v>
      </c>
      <c r="B101" s="3" t="s">
        <v>134</v>
      </c>
      <c r="D101" s="3" t="s">
        <v>40</v>
      </c>
      <c r="F101" s="76">
        <v>0</v>
      </c>
      <c r="G101" s="76"/>
      <c r="H101" s="76">
        <v>251382.41</v>
      </c>
      <c r="I101" s="76"/>
      <c r="J101" s="76">
        <v>0</v>
      </c>
      <c r="K101" s="76"/>
      <c r="L101" s="76">
        <v>0</v>
      </c>
      <c r="M101" s="76"/>
      <c r="N101" s="76">
        <v>0</v>
      </c>
      <c r="O101" s="76"/>
      <c r="P101" s="76">
        <v>0</v>
      </c>
      <c r="Q101" s="76"/>
      <c r="R101" s="76">
        <v>0</v>
      </c>
      <c r="S101" s="76"/>
      <c r="T101" s="76">
        <v>0</v>
      </c>
      <c r="U101" s="76"/>
      <c r="V101" s="76">
        <v>0</v>
      </c>
      <c r="W101" s="76"/>
      <c r="X101" s="76">
        <v>0</v>
      </c>
      <c r="Y101" s="76"/>
      <c r="Z101" s="76">
        <v>0</v>
      </c>
      <c r="AA101" s="76"/>
      <c r="AB101" s="76">
        <v>0</v>
      </c>
      <c r="AC101" s="76"/>
      <c r="AD101" s="76">
        <v>0</v>
      </c>
      <c r="AE101" s="76"/>
      <c r="AF101" s="76">
        <f t="shared" si="3"/>
        <v>251382.41</v>
      </c>
      <c r="AR101" s="3">
        <v>811.54</v>
      </c>
    </row>
    <row r="102" spans="1:64">
      <c r="A102" s="4"/>
      <c r="B102" s="3" t="s">
        <v>623</v>
      </c>
      <c r="D102" s="3" t="s">
        <v>87</v>
      </c>
      <c r="F102" s="1">
        <v>673</v>
      </c>
      <c r="G102" s="1"/>
      <c r="H102" s="1">
        <v>12405</v>
      </c>
      <c r="I102" s="1"/>
      <c r="J102" s="1">
        <v>19975</v>
      </c>
      <c r="K102" s="1"/>
      <c r="L102" s="1">
        <v>63629</v>
      </c>
      <c r="M102" s="1"/>
      <c r="N102" s="1">
        <v>519667</v>
      </c>
      <c r="O102" s="1"/>
      <c r="P102" s="1">
        <v>0</v>
      </c>
      <c r="Q102" s="1"/>
      <c r="R102" s="1">
        <v>0</v>
      </c>
      <c r="S102" s="1"/>
      <c r="T102" s="1">
        <v>559</v>
      </c>
      <c r="U102" s="1"/>
      <c r="V102" s="1">
        <v>0</v>
      </c>
      <c r="W102" s="1"/>
      <c r="X102" s="1">
        <v>0</v>
      </c>
      <c r="Y102" s="1"/>
      <c r="Z102" s="1">
        <v>0</v>
      </c>
      <c r="AA102" s="1"/>
      <c r="AB102" s="1">
        <v>0</v>
      </c>
      <c r="AC102" s="1"/>
      <c r="AD102" s="1">
        <v>0</v>
      </c>
      <c r="AE102" s="4"/>
      <c r="AF102" s="4">
        <f t="shared" si="3"/>
        <v>616908</v>
      </c>
    </row>
    <row r="103" spans="1:64">
      <c r="A103" s="4">
        <v>70</v>
      </c>
      <c r="B103" s="7" t="s">
        <v>430</v>
      </c>
      <c r="C103" s="7"/>
      <c r="D103" s="7" t="s">
        <v>65</v>
      </c>
      <c r="E103" s="7"/>
      <c r="F103" s="1">
        <v>0</v>
      </c>
      <c r="G103" s="1"/>
      <c r="H103" s="1">
        <v>2688267</v>
      </c>
      <c r="I103" s="1"/>
      <c r="J103" s="1">
        <v>0</v>
      </c>
      <c r="K103" s="1"/>
      <c r="L103" s="1">
        <v>0</v>
      </c>
      <c r="M103" s="1"/>
      <c r="N103" s="1">
        <v>0</v>
      </c>
      <c r="O103" s="1"/>
      <c r="P103" s="1">
        <v>0</v>
      </c>
      <c r="Q103" s="1"/>
      <c r="R103" s="1">
        <v>0</v>
      </c>
      <c r="S103" s="1"/>
      <c r="T103" s="1">
        <v>0</v>
      </c>
      <c r="U103" s="1"/>
      <c r="V103" s="1">
        <v>0</v>
      </c>
      <c r="W103" s="1"/>
      <c r="X103" s="1">
        <v>0</v>
      </c>
      <c r="Y103" s="1"/>
      <c r="Z103" s="1">
        <v>341438</v>
      </c>
      <c r="AA103" s="1"/>
      <c r="AB103" s="1">
        <v>0</v>
      </c>
      <c r="AC103" s="1"/>
      <c r="AD103" s="1">
        <v>0</v>
      </c>
      <c r="AE103" s="4"/>
      <c r="AF103" s="4">
        <f t="shared" si="3"/>
        <v>3029705</v>
      </c>
      <c r="AG103" s="47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4"/>
    </row>
    <row r="104" spans="1:64">
      <c r="A104" s="4">
        <v>123</v>
      </c>
      <c r="B104" s="3" t="s">
        <v>135</v>
      </c>
      <c r="D104" s="3" t="s">
        <v>13</v>
      </c>
      <c r="F104" s="1">
        <v>0</v>
      </c>
      <c r="G104" s="1"/>
      <c r="H104" s="1">
        <v>334873</v>
      </c>
      <c r="I104" s="1"/>
      <c r="J104" s="1">
        <v>0</v>
      </c>
      <c r="K104" s="1"/>
      <c r="L104" s="1">
        <v>0</v>
      </c>
      <c r="M104" s="1"/>
      <c r="N104" s="1">
        <v>0</v>
      </c>
      <c r="O104" s="1"/>
      <c r="P104" s="1">
        <v>0</v>
      </c>
      <c r="Q104" s="1"/>
      <c r="R104" s="1">
        <v>0</v>
      </c>
      <c r="S104" s="1"/>
      <c r="T104" s="1">
        <v>0</v>
      </c>
      <c r="U104" s="1"/>
      <c r="V104" s="1">
        <v>0</v>
      </c>
      <c r="W104" s="1"/>
      <c r="X104" s="1">
        <v>0</v>
      </c>
      <c r="Y104" s="1"/>
      <c r="Z104" s="1">
        <v>0</v>
      </c>
      <c r="AA104" s="1"/>
      <c r="AB104" s="1">
        <v>0</v>
      </c>
      <c r="AC104" s="1"/>
      <c r="AD104" s="1">
        <v>0</v>
      </c>
      <c r="AE104" s="4"/>
      <c r="AF104" s="4">
        <f t="shared" si="3"/>
        <v>334873</v>
      </c>
      <c r="AR104" s="3">
        <v>2070.62</v>
      </c>
    </row>
    <row r="105" spans="1:64">
      <c r="A105" s="4">
        <v>93</v>
      </c>
      <c r="B105" s="3" t="s">
        <v>586</v>
      </c>
      <c r="D105" s="3" t="s">
        <v>137</v>
      </c>
      <c r="F105" s="6">
        <v>0</v>
      </c>
      <c r="G105" s="6"/>
      <c r="H105" s="6">
        <v>2378419.7799999998</v>
      </c>
      <c r="I105" s="6"/>
      <c r="J105" s="6">
        <v>0</v>
      </c>
      <c r="K105" s="6"/>
      <c r="L105" s="6">
        <v>0</v>
      </c>
      <c r="M105" s="6"/>
      <c r="N105" s="6">
        <v>0</v>
      </c>
      <c r="O105" s="6"/>
      <c r="P105" s="6">
        <v>0</v>
      </c>
      <c r="Q105" s="6"/>
      <c r="R105" s="6">
        <v>0</v>
      </c>
      <c r="S105" s="6"/>
      <c r="T105" s="6">
        <v>140071.04000000001</v>
      </c>
      <c r="U105" s="6"/>
      <c r="V105" s="6">
        <v>0</v>
      </c>
      <c r="W105" s="6"/>
      <c r="X105" s="6">
        <v>9350</v>
      </c>
      <c r="Y105" s="6"/>
      <c r="Z105" s="6">
        <v>15000</v>
      </c>
      <c r="AA105" s="6"/>
      <c r="AB105" s="6">
        <v>0</v>
      </c>
      <c r="AC105" s="6"/>
      <c r="AD105" s="6">
        <v>0</v>
      </c>
      <c r="AE105" s="6"/>
      <c r="AF105" s="6">
        <f t="shared" si="3"/>
        <v>2542840.8199999998</v>
      </c>
    </row>
    <row r="106" spans="1:64" hidden="1">
      <c r="A106" s="4">
        <v>93</v>
      </c>
      <c r="B106" s="3" t="s">
        <v>361</v>
      </c>
      <c r="D106" s="3" t="s">
        <v>487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4"/>
      <c r="AF106" s="4">
        <f t="shared" si="3"/>
        <v>0</v>
      </c>
    </row>
    <row r="107" spans="1:64">
      <c r="A107" s="4">
        <v>97</v>
      </c>
      <c r="B107" s="3" t="s">
        <v>138</v>
      </c>
      <c r="D107" s="3" t="s">
        <v>59</v>
      </c>
      <c r="F107" s="6">
        <v>0</v>
      </c>
      <c r="G107" s="6"/>
      <c r="H107" s="6">
        <v>130965.98</v>
      </c>
      <c r="I107" s="6"/>
      <c r="J107" s="6">
        <v>0</v>
      </c>
      <c r="K107" s="6"/>
      <c r="L107" s="6">
        <v>0</v>
      </c>
      <c r="M107" s="6"/>
      <c r="N107" s="6">
        <v>0</v>
      </c>
      <c r="O107" s="6"/>
      <c r="P107" s="6">
        <v>0</v>
      </c>
      <c r="Q107" s="6"/>
      <c r="R107" s="6">
        <v>0</v>
      </c>
      <c r="S107" s="6"/>
      <c r="T107" s="6">
        <v>1469.54</v>
      </c>
      <c r="U107" s="6"/>
      <c r="V107" s="6">
        <v>0</v>
      </c>
      <c r="W107" s="6"/>
      <c r="X107" s="6">
        <v>0</v>
      </c>
      <c r="Y107" s="6"/>
      <c r="Z107" s="6">
        <v>0</v>
      </c>
      <c r="AA107" s="6"/>
      <c r="AB107" s="6">
        <v>0</v>
      </c>
      <c r="AC107" s="6"/>
      <c r="AD107" s="6">
        <v>0</v>
      </c>
      <c r="AE107" s="6"/>
      <c r="AF107" s="6">
        <f t="shared" si="3"/>
        <v>132435.51999999999</v>
      </c>
    </row>
    <row r="108" spans="1:64">
      <c r="A108" s="4">
        <v>159</v>
      </c>
      <c r="B108" s="3" t="s">
        <v>139</v>
      </c>
      <c r="D108" s="3" t="s">
        <v>48</v>
      </c>
      <c r="F108" s="1">
        <v>8592</v>
      </c>
      <c r="G108" s="1"/>
      <c r="H108" s="1">
        <v>59204</v>
      </c>
      <c r="I108" s="1"/>
      <c r="J108" s="1">
        <v>15524</v>
      </c>
      <c r="K108" s="1"/>
      <c r="L108" s="1">
        <v>10882</v>
      </c>
      <c r="M108" s="1"/>
      <c r="N108" s="1">
        <v>6569</v>
      </c>
      <c r="O108" s="1"/>
      <c r="P108" s="1">
        <v>0</v>
      </c>
      <c r="Q108" s="1"/>
      <c r="R108" s="1">
        <v>0</v>
      </c>
      <c r="S108" s="1"/>
      <c r="T108" s="1">
        <v>1990</v>
      </c>
      <c r="U108" s="1"/>
      <c r="V108" s="1">
        <v>0</v>
      </c>
      <c r="W108" s="1"/>
      <c r="X108" s="1">
        <v>0</v>
      </c>
      <c r="Y108" s="1"/>
      <c r="Z108" s="1">
        <v>0</v>
      </c>
      <c r="AA108" s="1"/>
      <c r="AB108" s="1">
        <v>0</v>
      </c>
      <c r="AC108" s="1"/>
      <c r="AD108" s="1">
        <v>0</v>
      </c>
      <c r="AE108" s="4"/>
      <c r="AF108" s="4">
        <f t="shared" si="3"/>
        <v>102761</v>
      </c>
      <c r="AG108" s="47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4"/>
    </row>
    <row r="109" spans="1:64">
      <c r="A109" s="4">
        <v>240</v>
      </c>
      <c r="B109" s="3" t="s">
        <v>140</v>
      </c>
      <c r="D109" s="3" t="s">
        <v>52</v>
      </c>
      <c r="F109" s="6">
        <v>0</v>
      </c>
      <c r="G109" s="6"/>
      <c r="H109" s="6">
        <v>1460441.28</v>
      </c>
      <c r="I109" s="6"/>
      <c r="J109" s="6">
        <v>0</v>
      </c>
      <c r="K109" s="6"/>
      <c r="L109" s="6">
        <v>0</v>
      </c>
      <c r="M109" s="6"/>
      <c r="N109" s="6">
        <v>0</v>
      </c>
      <c r="O109" s="6"/>
      <c r="P109" s="6">
        <v>0</v>
      </c>
      <c r="Q109" s="6"/>
      <c r="R109" s="6">
        <v>0</v>
      </c>
      <c r="S109" s="6"/>
      <c r="T109" s="6">
        <v>59611.44</v>
      </c>
      <c r="U109" s="6"/>
      <c r="V109" s="6">
        <v>0</v>
      </c>
      <c r="W109" s="6"/>
      <c r="X109" s="6">
        <v>0</v>
      </c>
      <c r="Y109" s="6"/>
      <c r="Z109" s="6">
        <v>840305.59</v>
      </c>
      <c r="AA109" s="6"/>
      <c r="AB109" s="6">
        <v>0</v>
      </c>
      <c r="AC109" s="6"/>
      <c r="AD109" s="6">
        <v>458.04</v>
      </c>
      <c r="AE109" s="6"/>
      <c r="AF109" s="6">
        <f t="shared" si="3"/>
        <v>2360816.35</v>
      </c>
    </row>
    <row r="110" spans="1:64">
      <c r="A110" s="4">
        <v>48</v>
      </c>
      <c r="B110" s="35" t="s">
        <v>141</v>
      </c>
      <c r="C110" s="35"/>
      <c r="D110" s="35" t="s">
        <v>475</v>
      </c>
      <c r="E110" s="35"/>
      <c r="F110" s="6">
        <v>0</v>
      </c>
      <c r="G110" s="6"/>
      <c r="H110" s="6">
        <v>509971.75</v>
      </c>
      <c r="I110" s="6"/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0</v>
      </c>
      <c r="S110" s="6"/>
      <c r="T110" s="6">
        <v>4802.72</v>
      </c>
      <c r="U110" s="6"/>
      <c r="V110" s="6">
        <v>0</v>
      </c>
      <c r="W110" s="6"/>
      <c r="X110" s="6">
        <v>0</v>
      </c>
      <c r="Y110" s="6"/>
      <c r="Z110" s="6">
        <v>200000</v>
      </c>
      <c r="AA110" s="6"/>
      <c r="AB110" s="6">
        <v>0</v>
      </c>
      <c r="AC110" s="6"/>
      <c r="AD110" s="6">
        <v>0</v>
      </c>
      <c r="AE110" s="6"/>
      <c r="AF110" s="6">
        <f t="shared" si="3"/>
        <v>714774.47</v>
      </c>
    </row>
    <row r="111" spans="1:64">
      <c r="A111" s="4">
        <v>190</v>
      </c>
      <c r="B111" s="3" t="s">
        <v>142</v>
      </c>
      <c r="D111" s="3" t="s">
        <v>143</v>
      </c>
      <c r="F111" s="1">
        <v>0</v>
      </c>
      <c r="G111" s="1"/>
      <c r="H111" s="1">
        <v>1029225</v>
      </c>
      <c r="I111" s="1"/>
      <c r="J111" s="1">
        <v>0</v>
      </c>
      <c r="K111" s="1"/>
      <c r="L111" s="1">
        <v>0</v>
      </c>
      <c r="M111" s="1"/>
      <c r="N111" s="1">
        <v>0</v>
      </c>
      <c r="O111" s="1"/>
      <c r="P111" s="1">
        <v>0</v>
      </c>
      <c r="Q111" s="1"/>
      <c r="R111" s="1">
        <v>0</v>
      </c>
      <c r="S111" s="1"/>
      <c r="T111" s="1">
        <v>40126</v>
      </c>
      <c r="U111" s="1"/>
      <c r="V111" s="1">
        <v>0</v>
      </c>
      <c r="W111" s="1"/>
      <c r="X111" s="1">
        <v>0</v>
      </c>
      <c r="Y111" s="1"/>
      <c r="Z111" s="1">
        <v>0</v>
      </c>
      <c r="AA111" s="1"/>
      <c r="AB111" s="1">
        <v>0</v>
      </c>
      <c r="AC111" s="1"/>
      <c r="AD111" s="1">
        <v>0</v>
      </c>
      <c r="AE111" s="4"/>
      <c r="AF111" s="4">
        <f t="shared" si="3"/>
        <v>1069351</v>
      </c>
      <c r="AO111" s="3">
        <f>+AO110+6837.16</f>
        <v>6837.16</v>
      </c>
      <c r="AR111" s="3">
        <v>23.2</v>
      </c>
    </row>
    <row r="112" spans="1:64">
      <c r="A112" s="4">
        <v>90</v>
      </c>
      <c r="B112" s="3" t="s">
        <v>144</v>
      </c>
      <c r="D112" s="3" t="s">
        <v>15</v>
      </c>
      <c r="F112" s="1">
        <v>472719</v>
      </c>
      <c r="G112" s="1"/>
      <c r="H112" s="1">
        <v>3093177</v>
      </c>
      <c r="I112" s="1"/>
      <c r="J112" s="1">
        <v>1461371</v>
      </c>
      <c r="K112" s="1"/>
      <c r="L112" s="1">
        <v>323652</v>
      </c>
      <c r="M112" s="1"/>
      <c r="N112" s="1">
        <v>613889</v>
      </c>
      <c r="O112" s="1"/>
      <c r="P112" s="1">
        <v>0</v>
      </c>
      <c r="Q112" s="1"/>
      <c r="R112" s="1">
        <v>0</v>
      </c>
      <c r="S112" s="1"/>
      <c r="T112" s="1">
        <v>194847</v>
      </c>
      <c r="U112" s="1"/>
      <c r="V112" s="1">
        <v>0</v>
      </c>
      <c r="W112" s="1"/>
      <c r="X112" s="1">
        <v>0</v>
      </c>
      <c r="Y112" s="1"/>
      <c r="Z112" s="1">
        <v>1159500</v>
      </c>
      <c r="AA112" s="1"/>
      <c r="AB112" s="1">
        <v>0</v>
      </c>
      <c r="AC112" s="1"/>
      <c r="AD112" s="1">
        <v>0</v>
      </c>
      <c r="AE112" s="4"/>
      <c r="AF112" s="4">
        <f t="shared" si="3"/>
        <v>7319155</v>
      </c>
    </row>
    <row r="113" spans="1:64">
      <c r="A113" s="4">
        <v>170</v>
      </c>
      <c r="B113" s="35" t="s">
        <v>145</v>
      </c>
      <c r="C113" s="35"/>
      <c r="D113" s="35" t="s">
        <v>490</v>
      </c>
      <c r="E113" s="35"/>
      <c r="F113" s="6">
        <v>0</v>
      </c>
      <c r="G113" s="6"/>
      <c r="H113" s="6">
        <v>560541.02</v>
      </c>
      <c r="I113" s="6"/>
      <c r="J113" s="6">
        <v>0</v>
      </c>
      <c r="K113" s="6"/>
      <c r="L113" s="6">
        <v>0</v>
      </c>
      <c r="M113" s="6"/>
      <c r="N113" s="6">
        <v>0</v>
      </c>
      <c r="O113" s="6"/>
      <c r="P113" s="6">
        <v>0</v>
      </c>
      <c r="Q113" s="6"/>
      <c r="R113" s="6">
        <v>0</v>
      </c>
      <c r="S113" s="6"/>
      <c r="T113" s="6">
        <v>0</v>
      </c>
      <c r="U113" s="6"/>
      <c r="V113" s="6">
        <v>0</v>
      </c>
      <c r="W113" s="6"/>
      <c r="X113" s="6">
        <v>0</v>
      </c>
      <c r="Y113" s="6"/>
      <c r="Z113" s="6">
        <v>20000</v>
      </c>
      <c r="AA113" s="6"/>
      <c r="AB113" s="6">
        <v>0</v>
      </c>
      <c r="AC113" s="6"/>
      <c r="AD113" s="6">
        <v>0</v>
      </c>
      <c r="AE113" s="6"/>
      <c r="AF113" s="6">
        <f t="shared" si="3"/>
        <v>580541.02</v>
      </c>
    </row>
    <row r="114" spans="1:64" s="4" customFormat="1">
      <c r="A114" s="4">
        <v>224</v>
      </c>
      <c r="B114" s="3" t="s">
        <v>32</v>
      </c>
      <c r="C114" s="3"/>
      <c r="D114" s="3" t="s">
        <v>54</v>
      </c>
      <c r="E114" s="3"/>
      <c r="F114" s="6">
        <v>0</v>
      </c>
      <c r="G114" s="6"/>
      <c r="H114" s="6">
        <v>685232.51</v>
      </c>
      <c r="I114" s="6"/>
      <c r="J114" s="6">
        <v>0</v>
      </c>
      <c r="K114" s="6"/>
      <c r="L114" s="6">
        <v>0</v>
      </c>
      <c r="M114" s="6"/>
      <c r="N114" s="6">
        <v>0</v>
      </c>
      <c r="O114" s="6"/>
      <c r="P114" s="6">
        <v>0</v>
      </c>
      <c r="Q114" s="6"/>
      <c r="R114" s="6">
        <v>0</v>
      </c>
      <c r="S114" s="6"/>
      <c r="T114" s="6">
        <v>10374.1</v>
      </c>
      <c r="U114" s="6"/>
      <c r="V114" s="6">
        <v>0</v>
      </c>
      <c r="W114" s="6"/>
      <c r="X114" s="6">
        <v>0</v>
      </c>
      <c r="Y114" s="6"/>
      <c r="Z114" s="6">
        <v>0</v>
      </c>
      <c r="AA114" s="6"/>
      <c r="AB114" s="6">
        <v>0</v>
      </c>
      <c r="AC114" s="6"/>
      <c r="AD114" s="6">
        <v>0</v>
      </c>
      <c r="AE114" s="6"/>
      <c r="AF114" s="6">
        <f t="shared" si="3"/>
        <v>695606.61</v>
      </c>
      <c r="AR114" s="4">
        <v>2845</v>
      </c>
    </row>
    <row r="115" spans="1:64" s="4" customFormat="1">
      <c r="A115" s="4">
        <v>224</v>
      </c>
      <c r="B115" s="3" t="s">
        <v>33</v>
      </c>
      <c r="C115" s="3"/>
      <c r="D115" s="3" t="s">
        <v>24</v>
      </c>
      <c r="E115" s="3"/>
      <c r="F115" s="6">
        <v>0</v>
      </c>
      <c r="G115" s="6"/>
      <c r="H115" s="6">
        <v>107092.45</v>
      </c>
      <c r="I115" s="6"/>
      <c r="J115" s="6">
        <v>0</v>
      </c>
      <c r="K115" s="6"/>
      <c r="L115" s="6">
        <v>0</v>
      </c>
      <c r="M115" s="6"/>
      <c r="N115" s="6">
        <v>0</v>
      </c>
      <c r="O115" s="6"/>
      <c r="P115" s="6">
        <v>0</v>
      </c>
      <c r="Q115" s="6"/>
      <c r="R115" s="6">
        <v>0</v>
      </c>
      <c r="S115" s="6"/>
      <c r="T115" s="6">
        <v>0</v>
      </c>
      <c r="U115" s="6"/>
      <c r="V115" s="6">
        <v>0</v>
      </c>
      <c r="W115" s="6"/>
      <c r="X115" s="6">
        <v>0</v>
      </c>
      <c r="Y115" s="6"/>
      <c r="Z115" s="6">
        <v>0</v>
      </c>
      <c r="AA115" s="6"/>
      <c r="AB115" s="6">
        <v>0</v>
      </c>
      <c r="AC115" s="6"/>
      <c r="AD115" s="6">
        <v>0</v>
      </c>
      <c r="AE115" s="6"/>
      <c r="AF115" s="6">
        <f t="shared" si="3"/>
        <v>107092.45</v>
      </c>
      <c r="AR115" s="4">
        <v>2845</v>
      </c>
    </row>
    <row r="116" spans="1:64" s="7" customFormat="1">
      <c r="A116" s="4">
        <v>143</v>
      </c>
      <c r="B116" s="3" t="s">
        <v>146</v>
      </c>
      <c r="C116" s="3"/>
      <c r="D116" s="3" t="s">
        <v>55</v>
      </c>
      <c r="E116" s="3"/>
      <c r="F116" s="76">
        <v>0</v>
      </c>
      <c r="G116" s="76"/>
      <c r="H116" s="76">
        <v>649420.38</v>
      </c>
      <c r="I116" s="76"/>
      <c r="J116" s="76">
        <v>0</v>
      </c>
      <c r="K116" s="76"/>
      <c r="L116" s="76">
        <v>0</v>
      </c>
      <c r="M116" s="76"/>
      <c r="N116" s="76">
        <v>0</v>
      </c>
      <c r="O116" s="76"/>
      <c r="P116" s="76">
        <v>0</v>
      </c>
      <c r="Q116" s="76"/>
      <c r="R116" s="76">
        <v>0</v>
      </c>
      <c r="S116" s="76"/>
      <c r="T116" s="76">
        <v>56373.79</v>
      </c>
      <c r="U116" s="76"/>
      <c r="V116" s="76">
        <v>0</v>
      </c>
      <c r="W116" s="76"/>
      <c r="X116" s="76">
        <v>0</v>
      </c>
      <c r="Y116" s="76"/>
      <c r="Z116" s="76">
        <v>150000</v>
      </c>
      <c r="AA116" s="76"/>
      <c r="AB116" s="76">
        <v>0</v>
      </c>
      <c r="AC116" s="76"/>
      <c r="AD116" s="76">
        <v>0</v>
      </c>
      <c r="AE116" s="76"/>
      <c r="AF116" s="76">
        <f t="shared" si="3"/>
        <v>855794.17</v>
      </c>
      <c r="AR116" s="7">
        <v>10653.53</v>
      </c>
    </row>
    <row r="117" spans="1:64">
      <c r="A117" s="4">
        <v>11</v>
      </c>
      <c r="B117" s="35" t="s">
        <v>302</v>
      </c>
      <c r="C117" s="35"/>
      <c r="D117" s="35" t="s">
        <v>464</v>
      </c>
      <c r="E117" s="35"/>
      <c r="F117" s="6">
        <v>0</v>
      </c>
      <c r="G117" s="6"/>
      <c r="H117" s="6">
        <v>0</v>
      </c>
      <c r="I117" s="6"/>
      <c r="J117" s="6">
        <v>0</v>
      </c>
      <c r="K117" s="6"/>
      <c r="L117" s="6">
        <v>0</v>
      </c>
      <c r="M117" s="6"/>
      <c r="N117" s="6">
        <v>0</v>
      </c>
      <c r="O117" s="6"/>
      <c r="P117" s="6">
        <v>0</v>
      </c>
      <c r="Q117" s="6"/>
      <c r="R117" s="6">
        <v>0</v>
      </c>
      <c r="S117" s="6"/>
      <c r="T117" s="6">
        <v>11805.23</v>
      </c>
      <c r="U117" s="6"/>
      <c r="V117" s="6">
        <v>0</v>
      </c>
      <c r="W117" s="6"/>
      <c r="X117" s="6">
        <v>0</v>
      </c>
      <c r="Y117" s="6"/>
      <c r="Z117" s="6">
        <v>0</v>
      </c>
      <c r="AA117" s="6"/>
      <c r="AB117" s="6">
        <v>0</v>
      </c>
      <c r="AC117" s="6"/>
      <c r="AD117" s="6">
        <v>0</v>
      </c>
      <c r="AE117" s="6"/>
      <c r="AF117" s="6">
        <f t="shared" si="3"/>
        <v>11805.23</v>
      </c>
    </row>
    <row r="118" spans="1:64">
      <c r="A118" s="4">
        <v>77</v>
      </c>
      <c r="B118" s="3" t="s">
        <v>147</v>
      </c>
      <c r="D118" s="3" t="s">
        <v>90</v>
      </c>
      <c r="F118" s="1">
        <v>0</v>
      </c>
      <c r="G118" s="1"/>
      <c r="H118" s="1">
        <v>2273439</v>
      </c>
      <c r="I118" s="1"/>
      <c r="J118" s="1">
        <v>0</v>
      </c>
      <c r="K118" s="1"/>
      <c r="L118" s="1">
        <v>0</v>
      </c>
      <c r="M118" s="1"/>
      <c r="N118" s="1">
        <v>0</v>
      </c>
      <c r="O118" s="1"/>
      <c r="P118" s="1">
        <v>0</v>
      </c>
      <c r="Q118" s="1"/>
      <c r="R118" s="1">
        <v>0</v>
      </c>
      <c r="S118" s="1"/>
      <c r="T118" s="1">
        <v>73582</v>
      </c>
      <c r="U118" s="1"/>
      <c r="V118" s="1">
        <v>0</v>
      </c>
      <c r="W118" s="1"/>
      <c r="X118" s="1">
        <v>0</v>
      </c>
      <c r="Y118" s="1"/>
      <c r="Z118" s="1">
        <v>301050</v>
      </c>
      <c r="AA118" s="1"/>
      <c r="AB118" s="1">
        <v>0</v>
      </c>
      <c r="AC118" s="1"/>
      <c r="AD118" s="1">
        <v>0</v>
      </c>
      <c r="AE118" s="4"/>
      <c r="AF118" s="4">
        <f t="shared" si="3"/>
        <v>2648071</v>
      </c>
    </row>
    <row r="119" spans="1:64" hidden="1">
      <c r="A119" s="4">
        <v>132</v>
      </c>
      <c r="B119" s="3" t="s">
        <v>148</v>
      </c>
      <c r="D119" s="3" t="s">
        <v>39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4"/>
      <c r="AF119" s="4">
        <f t="shared" si="3"/>
        <v>0</v>
      </c>
    </row>
    <row r="120" spans="1:64">
      <c r="A120" s="4">
        <v>91</v>
      </c>
      <c r="B120" s="3" t="s">
        <v>587</v>
      </c>
      <c r="D120" s="3" t="s">
        <v>150</v>
      </c>
      <c r="F120" s="1">
        <v>360177</v>
      </c>
      <c r="G120" s="1"/>
      <c r="H120" s="1">
        <f>3489081+1296643</f>
        <v>4785724</v>
      </c>
      <c r="I120" s="1"/>
      <c r="J120" s="1">
        <v>697658</v>
      </c>
      <c r="K120" s="1"/>
      <c r="L120" s="1">
        <v>633119</v>
      </c>
      <c r="M120" s="1"/>
      <c r="N120" s="1">
        <v>1398412</v>
      </c>
      <c r="O120" s="1"/>
      <c r="P120" s="1">
        <v>0</v>
      </c>
      <c r="Q120" s="1"/>
      <c r="R120" s="1">
        <v>0</v>
      </c>
      <c r="S120" s="1"/>
      <c r="T120" s="1">
        <v>26930</v>
      </c>
      <c r="U120" s="1"/>
      <c r="V120" s="1">
        <v>0</v>
      </c>
      <c r="W120" s="1"/>
      <c r="X120" s="1">
        <v>0</v>
      </c>
      <c r="Y120" s="1"/>
      <c r="Z120" s="1">
        <v>34960</v>
      </c>
      <c r="AA120" s="1"/>
      <c r="AB120" s="1">
        <v>0</v>
      </c>
      <c r="AC120" s="1"/>
      <c r="AD120" s="1">
        <v>0</v>
      </c>
      <c r="AE120" s="4"/>
      <c r="AF120" s="4">
        <f t="shared" si="3"/>
        <v>7936980</v>
      </c>
    </row>
    <row r="121" spans="1:64">
      <c r="A121" s="4">
        <v>59</v>
      </c>
      <c r="B121" s="3" t="s">
        <v>151</v>
      </c>
      <c r="D121" s="3" t="s">
        <v>79</v>
      </c>
      <c r="F121" s="76">
        <v>0</v>
      </c>
      <c r="G121" s="76"/>
      <c r="H121" s="76">
        <v>667272.86</v>
      </c>
      <c r="I121" s="76"/>
      <c r="J121" s="76">
        <v>0</v>
      </c>
      <c r="K121" s="76"/>
      <c r="L121" s="76">
        <v>0</v>
      </c>
      <c r="M121" s="76"/>
      <c r="N121" s="76">
        <v>0</v>
      </c>
      <c r="O121" s="76"/>
      <c r="P121" s="76">
        <v>0</v>
      </c>
      <c r="Q121" s="76"/>
      <c r="R121" s="76">
        <v>0</v>
      </c>
      <c r="S121" s="76"/>
      <c r="T121" s="76">
        <v>0</v>
      </c>
      <c r="U121" s="76"/>
      <c r="V121" s="76">
        <v>0</v>
      </c>
      <c r="W121" s="76"/>
      <c r="X121" s="76">
        <v>153708.76</v>
      </c>
      <c r="Y121" s="76"/>
      <c r="Z121" s="76">
        <v>0</v>
      </c>
      <c r="AA121" s="76"/>
      <c r="AB121" s="76">
        <v>0</v>
      </c>
      <c r="AC121" s="76"/>
      <c r="AD121" s="76">
        <v>0</v>
      </c>
      <c r="AE121" s="76"/>
      <c r="AF121" s="76">
        <f t="shared" si="3"/>
        <v>820981.62</v>
      </c>
    </row>
    <row r="122" spans="1:64">
      <c r="A122" s="4">
        <v>92</v>
      </c>
      <c r="B122" s="3" t="s">
        <v>588</v>
      </c>
      <c r="D122" s="3" t="s">
        <v>152</v>
      </c>
      <c r="F122" s="1">
        <v>29180</v>
      </c>
      <c r="G122" s="1"/>
      <c r="H122" s="1">
        <v>676163</v>
      </c>
      <c r="I122" s="1"/>
      <c r="J122" s="1">
        <v>153593</v>
      </c>
      <c r="K122" s="1"/>
      <c r="L122" s="1">
        <v>208142</v>
      </c>
      <c r="M122" s="1"/>
      <c r="N122" s="1">
        <v>391529</v>
      </c>
      <c r="O122" s="1"/>
      <c r="P122" s="1">
        <v>0</v>
      </c>
      <c r="Q122" s="1"/>
      <c r="R122" s="1">
        <v>0</v>
      </c>
      <c r="S122" s="1"/>
      <c r="T122" s="1">
        <v>9532</v>
      </c>
      <c r="U122" s="1"/>
      <c r="V122" s="1">
        <v>0</v>
      </c>
      <c r="W122" s="1"/>
      <c r="X122" s="1">
        <v>0</v>
      </c>
      <c r="Y122" s="1"/>
      <c r="Z122" s="1">
        <v>0</v>
      </c>
      <c r="AA122" s="1"/>
      <c r="AB122" s="1">
        <v>0</v>
      </c>
      <c r="AC122" s="1"/>
      <c r="AD122" s="1">
        <v>0</v>
      </c>
      <c r="AE122" s="4"/>
      <c r="AF122" s="4">
        <f t="shared" si="3"/>
        <v>1468139</v>
      </c>
      <c r="AG122" s="47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4"/>
    </row>
    <row r="123" spans="1:64">
      <c r="A123" s="4">
        <v>12</v>
      </c>
      <c r="B123" s="35" t="s">
        <v>153</v>
      </c>
      <c r="C123" s="35"/>
      <c r="D123" s="35" t="s">
        <v>464</v>
      </c>
      <c r="E123" s="35"/>
      <c r="F123" s="6">
        <v>0</v>
      </c>
      <c r="G123" s="6"/>
      <c r="H123" s="6">
        <v>476969.96</v>
      </c>
      <c r="I123" s="6"/>
      <c r="J123" s="6">
        <v>0</v>
      </c>
      <c r="K123" s="6"/>
      <c r="L123" s="6">
        <v>0</v>
      </c>
      <c r="M123" s="6"/>
      <c r="N123" s="6">
        <v>0</v>
      </c>
      <c r="O123" s="6"/>
      <c r="P123" s="6">
        <v>0</v>
      </c>
      <c r="Q123" s="6"/>
      <c r="R123" s="6">
        <v>0</v>
      </c>
      <c r="S123" s="6"/>
      <c r="T123" s="6">
        <v>0</v>
      </c>
      <c r="U123" s="6"/>
      <c r="V123" s="6">
        <v>0</v>
      </c>
      <c r="W123" s="6"/>
      <c r="X123" s="6">
        <v>0</v>
      </c>
      <c r="Y123" s="6"/>
      <c r="Z123" s="6">
        <v>152132.95000000001</v>
      </c>
      <c r="AA123" s="6"/>
      <c r="AB123" s="6">
        <v>0</v>
      </c>
      <c r="AC123" s="6"/>
      <c r="AD123" s="6">
        <v>0</v>
      </c>
      <c r="AE123" s="6"/>
      <c r="AF123" s="6">
        <f t="shared" si="3"/>
        <v>629102.91</v>
      </c>
    </row>
    <row r="124" spans="1:64">
      <c r="A124" s="4">
        <v>98</v>
      </c>
      <c r="B124" s="3" t="s">
        <v>154</v>
      </c>
      <c r="D124" s="3" t="s">
        <v>59</v>
      </c>
      <c r="F124" s="1">
        <v>10248</v>
      </c>
      <c r="G124" s="1"/>
      <c r="H124" s="1">
        <v>7989</v>
      </c>
      <c r="I124" s="1"/>
      <c r="J124" s="1">
        <v>0</v>
      </c>
      <c r="K124" s="1"/>
      <c r="L124" s="1">
        <v>9425</v>
      </c>
      <c r="M124" s="1"/>
      <c r="N124" s="1">
        <v>38911</v>
      </c>
      <c r="O124" s="1"/>
      <c r="P124" s="1">
        <v>0</v>
      </c>
      <c r="Q124" s="1"/>
      <c r="R124" s="1">
        <v>0</v>
      </c>
      <c r="S124" s="1"/>
      <c r="T124" s="1">
        <v>3620</v>
      </c>
      <c r="U124" s="1"/>
      <c r="V124" s="1">
        <v>0</v>
      </c>
      <c r="W124" s="1"/>
      <c r="X124" s="1">
        <v>0</v>
      </c>
      <c r="Y124" s="1"/>
      <c r="Z124" s="1">
        <v>0</v>
      </c>
      <c r="AA124" s="1"/>
      <c r="AB124" s="1">
        <v>0</v>
      </c>
      <c r="AC124" s="1"/>
      <c r="AD124" s="1">
        <v>0</v>
      </c>
      <c r="AE124" s="4"/>
      <c r="AF124" s="4">
        <f t="shared" si="3"/>
        <v>70193</v>
      </c>
      <c r="AG124" s="47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4"/>
    </row>
    <row r="125" spans="1:64">
      <c r="A125" s="4">
        <v>181</v>
      </c>
      <c r="B125" s="3" t="s">
        <v>155</v>
      </c>
      <c r="D125" s="3" t="s">
        <v>156</v>
      </c>
      <c r="F125" s="1">
        <v>0</v>
      </c>
      <c r="G125" s="1"/>
      <c r="H125" s="1">
        <v>136898</v>
      </c>
      <c r="I125" s="1"/>
      <c r="J125" s="1">
        <v>48864</v>
      </c>
      <c r="K125" s="1"/>
      <c r="L125" s="1">
        <v>68983</v>
      </c>
      <c r="M125" s="1"/>
      <c r="N125" s="1">
        <v>204368</v>
      </c>
      <c r="O125" s="1"/>
      <c r="P125" s="1">
        <v>0</v>
      </c>
      <c r="Q125" s="1"/>
      <c r="R125" s="1">
        <v>0</v>
      </c>
      <c r="S125" s="1"/>
      <c r="T125" s="1">
        <v>4574</v>
      </c>
      <c r="U125" s="1"/>
      <c r="V125" s="1">
        <v>0</v>
      </c>
      <c r="W125" s="1"/>
      <c r="X125" s="1">
        <v>0</v>
      </c>
      <c r="Y125" s="1"/>
      <c r="Z125" s="1">
        <v>0</v>
      </c>
      <c r="AA125" s="1"/>
      <c r="AB125" s="1">
        <v>0</v>
      </c>
      <c r="AC125" s="1"/>
      <c r="AD125" s="1">
        <v>0</v>
      </c>
      <c r="AE125" s="4"/>
      <c r="AF125" s="4">
        <f t="shared" si="3"/>
        <v>463687</v>
      </c>
      <c r="AG125" s="47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4"/>
    </row>
    <row r="126" spans="1:64">
      <c r="A126" s="4">
        <v>13</v>
      </c>
      <c r="B126" s="4" t="s">
        <v>303</v>
      </c>
      <c r="C126" s="35"/>
      <c r="D126" s="35" t="s">
        <v>464</v>
      </c>
      <c r="E126" s="35"/>
      <c r="F126" s="6">
        <v>0</v>
      </c>
      <c r="G126" s="6"/>
      <c r="H126" s="6">
        <v>331272.46000000002</v>
      </c>
      <c r="I126" s="6"/>
      <c r="J126" s="6">
        <v>0</v>
      </c>
      <c r="K126" s="6"/>
      <c r="L126" s="6">
        <v>0</v>
      </c>
      <c r="M126" s="6"/>
      <c r="N126" s="6">
        <v>0</v>
      </c>
      <c r="O126" s="6"/>
      <c r="P126" s="6">
        <v>0</v>
      </c>
      <c r="Q126" s="6"/>
      <c r="R126" s="6">
        <v>0</v>
      </c>
      <c r="S126" s="6"/>
      <c r="T126" s="6">
        <v>1130.32</v>
      </c>
      <c r="U126" s="6"/>
      <c r="V126" s="6">
        <v>0</v>
      </c>
      <c r="W126" s="6"/>
      <c r="X126" s="6">
        <v>0</v>
      </c>
      <c r="Y126" s="6"/>
      <c r="Z126" s="6">
        <v>0</v>
      </c>
      <c r="AA126" s="6"/>
      <c r="AB126" s="6">
        <v>7825</v>
      </c>
      <c r="AC126" s="6"/>
      <c r="AD126" s="6">
        <v>0</v>
      </c>
      <c r="AE126" s="6"/>
      <c r="AF126" s="6">
        <f t="shared" si="3"/>
        <v>340227.78</v>
      </c>
      <c r="AG126" s="47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4"/>
    </row>
    <row r="127" spans="1:64">
      <c r="A127" s="4">
        <v>239</v>
      </c>
      <c r="B127" s="3" t="s">
        <v>157</v>
      </c>
      <c r="D127" s="3" t="s">
        <v>158</v>
      </c>
      <c r="F127" s="1">
        <v>0</v>
      </c>
      <c r="G127" s="1"/>
      <c r="H127" s="1">
        <v>440529</v>
      </c>
      <c r="I127" s="1"/>
      <c r="J127" s="1">
        <v>0</v>
      </c>
      <c r="K127" s="1"/>
      <c r="L127" s="1">
        <v>0</v>
      </c>
      <c r="M127" s="1"/>
      <c r="N127" s="1">
        <v>0</v>
      </c>
      <c r="O127" s="1"/>
      <c r="P127" s="1">
        <v>0</v>
      </c>
      <c r="Q127" s="1"/>
      <c r="R127" s="1">
        <v>0</v>
      </c>
      <c r="S127" s="1"/>
      <c r="T127" s="1">
        <v>0</v>
      </c>
      <c r="U127" s="1"/>
      <c r="V127" s="1">
        <v>0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0</v>
      </c>
      <c r="AE127" s="4"/>
      <c r="AF127" s="4">
        <f t="shared" si="3"/>
        <v>440529</v>
      </c>
    </row>
    <row r="128" spans="1:64">
      <c r="A128" s="4">
        <v>144</v>
      </c>
      <c r="B128" s="3" t="s">
        <v>34</v>
      </c>
      <c r="D128" s="3" t="s">
        <v>55</v>
      </c>
      <c r="F128" s="6">
        <v>19800.13</v>
      </c>
      <c r="G128" s="6"/>
      <c r="H128" s="6">
        <v>303914</v>
      </c>
      <c r="I128" s="6"/>
      <c r="J128" s="6">
        <v>55725.97</v>
      </c>
      <c r="K128" s="6"/>
      <c r="L128" s="6">
        <v>35028.79</v>
      </c>
      <c r="M128" s="6"/>
      <c r="N128" s="6">
        <v>38672.870000000003</v>
      </c>
      <c r="O128" s="6"/>
      <c r="P128" s="6">
        <v>0</v>
      </c>
      <c r="Q128" s="6"/>
      <c r="R128" s="6">
        <v>0</v>
      </c>
      <c r="S128" s="6"/>
      <c r="T128" s="6">
        <v>4837.96</v>
      </c>
      <c r="U128" s="6"/>
      <c r="V128" s="6">
        <v>0</v>
      </c>
      <c r="W128" s="6"/>
      <c r="X128" s="6">
        <v>0</v>
      </c>
      <c r="Y128" s="6"/>
      <c r="Z128" s="6">
        <v>5025</v>
      </c>
      <c r="AA128" s="6"/>
      <c r="AB128" s="6">
        <v>0</v>
      </c>
      <c r="AC128" s="6"/>
      <c r="AD128" s="6">
        <v>0</v>
      </c>
      <c r="AE128" s="6"/>
      <c r="AF128" s="6">
        <f t="shared" si="3"/>
        <v>463004.72</v>
      </c>
    </row>
    <row r="129" spans="1:64">
      <c r="A129" s="4">
        <v>107</v>
      </c>
      <c r="B129" s="3" t="s">
        <v>159</v>
      </c>
      <c r="D129" s="3" t="s">
        <v>56</v>
      </c>
      <c r="F129" s="6">
        <v>0</v>
      </c>
      <c r="G129" s="6"/>
      <c r="H129" s="6">
        <v>1169504.31</v>
      </c>
      <c r="I129" s="6"/>
      <c r="J129" s="6">
        <v>0</v>
      </c>
      <c r="K129" s="6"/>
      <c r="L129" s="6">
        <v>0</v>
      </c>
      <c r="M129" s="6"/>
      <c r="N129" s="6">
        <v>0</v>
      </c>
      <c r="O129" s="6"/>
      <c r="P129" s="6">
        <v>0</v>
      </c>
      <c r="Q129" s="6"/>
      <c r="R129" s="6">
        <v>0</v>
      </c>
      <c r="S129" s="6"/>
      <c r="T129" s="6">
        <v>20354.8</v>
      </c>
      <c r="U129" s="6"/>
      <c r="V129" s="6">
        <v>0</v>
      </c>
      <c r="W129" s="6"/>
      <c r="X129" s="6">
        <v>0</v>
      </c>
      <c r="Y129" s="6"/>
      <c r="Z129" s="6">
        <v>0</v>
      </c>
      <c r="AA129" s="6"/>
      <c r="AB129" s="6">
        <v>0</v>
      </c>
      <c r="AC129" s="6"/>
      <c r="AD129" s="6">
        <v>0</v>
      </c>
      <c r="AE129" s="6"/>
      <c r="AF129" s="6">
        <f t="shared" ref="AF129:AF160" si="4">SUM(F129:AD129)</f>
        <v>1189859.1100000001</v>
      </c>
    </row>
    <row r="130" spans="1:64" hidden="1">
      <c r="A130" s="4">
        <v>103</v>
      </c>
      <c r="B130" s="3" t="s">
        <v>160</v>
      </c>
      <c r="D130" s="3" t="s">
        <v>58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4"/>
      <c r="AF130" s="4">
        <f t="shared" si="4"/>
        <v>0</v>
      </c>
    </row>
    <row r="131" spans="1:64">
      <c r="A131" s="4">
        <v>109</v>
      </c>
      <c r="B131" s="3" t="s">
        <v>589</v>
      </c>
      <c r="D131" s="3" t="s">
        <v>161</v>
      </c>
      <c r="F131" s="6">
        <v>0</v>
      </c>
      <c r="G131" s="6"/>
      <c r="H131" s="6">
        <v>933581.45</v>
      </c>
      <c r="I131" s="6"/>
      <c r="J131" s="6">
        <v>0</v>
      </c>
      <c r="K131" s="6"/>
      <c r="L131" s="6">
        <v>0</v>
      </c>
      <c r="M131" s="6"/>
      <c r="N131" s="6">
        <v>0</v>
      </c>
      <c r="O131" s="6"/>
      <c r="P131" s="6">
        <v>0</v>
      </c>
      <c r="Q131" s="6"/>
      <c r="R131" s="6">
        <v>0</v>
      </c>
      <c r="S131" s="6"/>
      <c r="T131" s="6">
        <v>893.35</v>
      </c>
      <c r="U131" s="6"/>
      <c r="V131" s="6">
        <v>0</v>
      </c>
      <c r="W131" s="6"/>
      <c r="X131" s="6">
        <v>0</v>
      </c>
      <c r="Y131" s="6"/>
      <c r="Z131" s="6">
        <v>25000</v>
      </c>
      <c r="AA131" s="6"/>
      <c r="AB131" s="6">
        <v>0</v>
      </c>
      <c r="AC131" s="6"/>
      <c r="AD131" s="6">
        <v>0</v>
      </c>
      <c r="AE131" s="6"/>
      <c r="AF131" s="6">
        <f t="shared" si="4"/>
        <v>959474.79999999993</v>
      </c>
    </row>
    <row r="132" spans="1:64">
      <c r="A132" s="4">
        <v>133</v>
      </c>
      <c r="B132" s="3" t="s">
        <v>304</v>
      </c>
      <c r="D132" s="3" t="s">
        <v>39</v>
      </c>
      <c r="F132" s="6">
        <v>0</v>
      </c>
      <c r="G132" s="6"/>
      <c r="H132" s="6">
        <v>180971.98</v>
      </c>
      <c r="I132" s="6"/>
      <c r="J132" s="6">
        <v>0</v>
      </c>
      <c r="K132" s="6"/>
      <c r="L132" s="6">
        <v>0</v>
      </c>
      <c r="M132" s="6"/>
      <c r="N132" s="6">
        <v>0</v>
      </c>
      <c r="O132" s="6"/>
      <c r="P132" s="6">
        <v>0</v>
      </c>
      <c r="Q132" s="6"/>
      <c r="R132" s="6">
        <v>0</v>
      </c>
      <c r="S132" s="6"/>
      <c r="T132" s="6">
        <v>1372</v>
      </c>
      <c r="U132" s="6"/>
      <c r="V132" s="6">
        <v>0</v>
      </c>
      <c r="W132" s="6"/>
      <c r="X132" s="6">
        <v>0</v>
      </c>
      <c r="Y132" s="6"/>
      <c r="Z132" s="6">
        <v>0</v>
      </c>
      <c r="AA132" s="6"/>
      <c r="AB132" s="6">
        <v>0</v>
      </c>
      <c r="AC132" s="6"/>
      <c r="AD132" s="6">
        <v>0</v>
      </c>
      <c r="AE132" s="6"/>
      <c r="AF132" s="6">
        <f t="shared" si="4"/>
        <v>182343.98</v>
      </c>
      <c r="AG132" s="47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4"/>
    </row>
    <row r="133" spans="1:64">
      <c r="A133" s="4">
        <v>225</v>
      </c>
      <c r="B133" s="3" t="s">
        <v>162</v>
      </c>
      <c r="D133" s="3" t="s">
        <v>54</v>
      </c>
      <c r="F133" s="76">
        <v>0</v>
      </c>
      <c r="G133" s="76"/>
      <c r="H133" s="76">
        <v>850465.25</v>
      </c>
      <c r="I133" s="76"/>
      <c r="J133" s="76">
        <v>0</v>
      </c>
      <c r="K133" s="76"/>
      <c r="L133" s="76">
        <v>0</v>
      </c>
      <c r="M133" s="76"/>
      <c r="N133" s="76">
        <v>0</v>
      </c>
      <c r="O133" s="76"/>
      <c r="P133" s="76">
        <v>0</v>
      </c>
      <c r="Q133" s="76"/>
      <c r="R133" s="76">
        <v>0</v>
      </c>
      <c r="S133" s="76"/>
      <c r="T133" s="76">
        <v>17565.509999999998</v>
      </c>
      <c r="U133" s="76"/>
      <c r="V133" s="76">
        <v>0</v>
      </c>
      <c r="W133" s="76"/>
      <c r="X133" s="76">
        <v>0</v>
      </c>
      <c r="Y133" s="76"/>
      <c r="Z133" s="76">
        <v>147248.10999999999</v>
      </c>
      <c r="AA133" s="76"/>
      <c r="AB133" s="76">
        <v>0</v>
      </c>
      <c r="AC133" s="76"/>
      <c r="AD133" s="76">
        <v>0</v>
      </c>
      <c r="AE133" s="76"/>
      <c r="AF133" s="76">
        <f t="shared" si="4"/>
        <v>1015278.87</v>
      </c>
    </row>
    <row r="134" spans="1:64" hidden="1">
      <c r="A134" s="4">
        <v>218</v>
      </c>
      <c r="B134" s="3" t="s">
        <v>333</v>
      </c>
      <c r="D134" s="3" t="s">
        <v>20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4"/>
      <c r="AF134" s="4">
        <f t="shared" si="4"/>
        <v>0</v>
      </c>
      <c r="AG134" s="47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4"/>
    </row>
    <row r="135" spans="1:64">
      <c r="A135" s="4">
        <v>66</v>
      </c>
      <c r="B135" s="3" t="s">
        <v>164</v>
      </c>
      <c r="D135" s="3" t="s">
        <v>165</v>
      </c>
      <c r="F135" s="6">
        <v>0</v>
      </c>
      <c r="G135" s="6"/>
      <c r="H135" s="6">
        <v>404459</v>
      </c>
      <c r="I135" s="6"/>
      <c r="J135" s="6">
        <v>86587.06</v>
      </c>
      <c r="K135" s="6"/>
      <c r="L135" s="6">
        <v>72494.11</v>
      </c>
      <c r="M135" s="6"/>
      <c r="N135" s="6">
        <v>15106.12</v>
      </c>
      <c r="O135" s="6"/>
      <c r="P135" s="6">
        <v>0</v>
      </c>
      <c r="Q135" s="6"/>
      <c r="R135" s="6">
        <v>0</v>
      </c>
      <c r="S135" s="6"/>
      <c r="T135" s="6">
        <v>0</v>
      </c>
      <c r="U135" s="6"/>
      <c r="V135" s="6">
        <v>0</v>
      </c>
      <c r="W135" s="6"/>
      <c r="X135" s="6">
        <v>0</v>
      </c>
      <c r="Y135" s="6"/>
      <c r="Z135" s="6">
        <v>0</v>
      </c>
      <c r="AA135" s="6"/>
      <c r="AB135" s="6">
        <v>0</v>
      </c>
      <c r="AC135" s="6"/>
      <c r="AD135" s="6">
        <v>6.5</v>
      </c>
      <c r="AE135" s="6"/>
      <c r="AF135" s="6">
        <f t="shared" si="4"/>
        <v>578652.79</v>
      </c>
      <c r="AG135" s="47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4"/>
    </row>
    <row r="136" spans="1:64">
      <c r="A136" s="4">
        <v>148</v>
      </c>
      <c r="B136" s="3" t="s">
        <v>35</v>
      </c>
      <c r="D136" s="3" t="s">
        <v>10</v>
      </c>
      <c r="F136" s="6">
        <v>235298</v>
      </c>
      <c r="G136" s="6"/>
      <c r="H136" s="6">
        <v>197697.02</v>
      </c>
      <c r="I136" s="6"/>
      <c r="J136" s="6">
        <v>0</v>
      </c>
      <c r="K136" s="6"/>
      <c r="L136" s="6">
        <v>0</v>
      </c>
      <c r="M136" s="6"/>
      <c r="N136" s="6">
        <v>0</v>
      </c>
      <c r="O136" s="6"/>
      <c r="P136" s="6">
        <v>0</v>
      </c>
      <c r="Q136" s="6"/>
      <c r="R136" s="6">
        <v>0</v>
      </c>
      <c r="S136" s="6"/>
      <c r="T136" s="6">
        <v>0</v>
      </c>
      <c r="U136" s="6"/>
      <c r="V136" s="6">
        <v>30000</v>
      </c>
      <c r="W136" s="6"/>
      <c r="X136" s="6">
        <v>48230</v>
      </c>
      <c r="Y136" s="6"/>
      <c r="Z136" s="6">
        <v>0</v>
      </c>
      <c r="AA136" s="6"/>
      <c r="AB136" s="6">
        <v>0</v>
      </c>
      <c r="AC136" s="6"/>
      <c r="AD136" s="6">
        <v>0</v>
      </c>
      <c r="AE136" s="6"/>
      <c r="AF136" s="6">
        <f t="shared" si="4"/>
        <v>511225.02</v>
      </c>
    </row>
    <row r="137" spans="1:64">
      <c r="A137" s="4">
        <v>182</v>
      </c>
      <c r="B137" s="3" t="s">
        <v>166</v>
      </c>
      <c r="D137" s="3" t="s">
        <v>156</v>
      </c>
      <c r="F137" s="1">
        <v>3393</v>
      </c>
      <c r="G137" s="1"/>
      <c r="H137" s="1">
        <v>26806</v>
      </c>
      <c r="I137" s="1"/>
      <c r="J137" s="1">
        <v>179883</v>
      </c>
      <c r="K137" s="1"/>
      <c r="L137" s="1">
        <v>118820</v>
      </c>
      <c r="M137" s="1"/>
      <c r="N137" s="1">
        <v>542532</v>
      </c>
      <c r="O137" s="1"/>
      <c r="P137" s="1">
        <v>0</v>
      </c>
      <c r="Q137" s="1"/>
      <c r="R137" s="1">
        <v>0</v>
      </c>
      <c r="S137" s="1"/>
      <c r="T137" s="1">
        <v>52480</v>
      </c>
      <c r="U137" s="1"/>
      <c r="V137" s="1">
        <v>0</v>
      </c>
      <c r="W137" s="1"/>
      <c r="X137" s="1">
        <v>0</v>
      </c>
      <c r="Y137" s="1"/>
      <c r="Z137" s="1">
        <v>0</v>
      </c>
      <c r="AA137" s="1"/>
      <c r="AB137" s="1">
        <v>0</v>
      </c>
      <c r="AC137" s="1"/>
      <c r="AD137" s="1">
        <v>0</v>
      </c>
      <c r="AE137" s="4"/>
      <c r="AF137" s="4">
        <f t="shared" si="4"/>
        <v>923914</v>
      </c>
      <c r="AG137" s="47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4"/>
    </row>
    <row r="138" spans="1:64">
      <c r="A138" s="4">
        <v>164</v>
      </c>
      <c r="B138" s="35" t="s">
        <v>335</v>
      </c>
      <c r="C138" s="35"/>
      <c r="D138" s="35" t="s">
        <v>487</v>
      </c>
      <c r="E138" s="35"/>
      <c r="F138" s="76">
        <v>0</v>
      </c>
      <c r="G138" s="76"/>
      <c r="H138" s="76">
        <v>214711.69</v>
      </c>
      <c r="I138" s="76"/>
      <c r="J138" s="76">
        <v>0</v>
      </c>
      <c r="K138" s="76"/>
      <c r="L138" s="76">
        <v>0</v>
      </c>
      <c r="M138" s="76"/>
      <c r="N138" s="76">
        <v>0</v>
      </c>
      <c r="O138" s="76"/>
      <c r="P138" s="76">
        <v>0</v>
      </c>
      <c r="Q138" s="76"/>
      <c r="R138" s="76">
        <v>0</v>
      </c>
      <c r="S138" s="76"/>
      <c r="T138" s="76">
        <v>3669.12</v>
      </c>
      <c r="U138" s="76"/>
      <c r="V138" s="76">
        <v>0</v>
      </c>
      <c r="W138" s="76"/>
      <c r="X138" s="76">
        <v>0</v>
      </c>
      <c r="Y138" s="76"/>
      <c r="Z138" s="76">
        <v>0</v>
      </c>
      <c r="AA138" s="76"/>
      <c r="AB138" s="76">
        <v>0</v>
      </c>
      <c r="AC138" s="76"/>
      <c r="AD138" s="76">
        <v>0</v>
      </c>
      <c r="AE138" s="76"/>
      <c r="AF138" s="76">
        <f t="shared" si="4"/>
        <v>218380.81</v>
      </c>
    </row>
    <row r="139" spans="1:64">
      <c r="A139" s="4">
        <v>115</v>
      </c>
      <c r="B139" s="3" t="s">
        <v>167</v>
      </c>
      <c r="D139" s="3" t="s">
        <v>168</v>
      </c>
      <c r="F139" s="6">
        <v>0</v>
      </c>
      <c r="G139" s="6"/>
      <c r="H139" s="6">
        <v>396100.61</v>
      </c>
      <c r="I139" s="6"/>
      <c r="J139" s="6">
        <v>0</v>
      </c>
      <c r="K139" s="6"/>
      <c r="L139" s="6">
        <v>0</v>
      </c>
      <c r="M139" s="6"/>
      <c r="N139" s="6">
        <v>0</v>
      </c>
      <c r="O139" s="6"/>
      <c r="P139" s="6">
        <v>0</v>
      </c>
      <c r="Q139" s="6"/>
      <c r="R139" s="6">
        <v>0</v>
      </c>
      <c r="S139" s="6"/>
      <c r="T139" s="6">
        <v>24544.87</v>
      </c>
      <c r="U139" s="6"/>
      <c r="V139" s="6">
        <v>0</v>
      </c>
      <c r="W139" s="6"/>
      <c r="X139" s="6">
        <v>0</v>
      </c>
      <c r="Y139" s="6"/>
      <c r="Z139" s="6">
        <v>0</v>
      </c>
      <c r="AA139" s="6"/>
      <c r="AB139" s="6">
        <v>0</v>
      </c>
      <c r="AC139" s="6"/>
      <c r="AD139" s="6">
        <v>0</v>
      </c>
      <c r="AE139" s="6"/>
      <c r="AF139" s="6">
        <f t="shared" si="4"/>
        <v>420645.48</v>
      </c>
    </row>
    <row r="140" spans="1:64">
      <c r="A140" s="4">
        <v>173</v>
      </c>
      <c r="B140" s="3" t="s">
        <v>334</v>
      </c>
      <c r="D140" s="3" t="s">
        <v>57</v>
      </c>
      <c r="F140" s="6">
        <v>0</v>
      </c>
      <c r="G140" s="6"/>
      <c r="H140" s="6">
        <v>555803.31999999995</v>
      </c>
      <c r="I140" s="6"/>
      <c r="J140" s="6">
        <v>0</v>
      </c>
      <c r="K140" s="6"/>
      <c r="L140" s="6">
        <v>0</v>
      </c>
      <c r="M140" s="6"/>
      <c r="N140" s="6">
        <v>0</v>
      </c>
      <c r="O140" s="6"/>
      <c r="P140" s="6">
        <v>0</v>
      </c>
      <c r="Q140" s="6"/>
      <c r="R140" s="6">
        <v>0</v>
      </c>
      <c r="S140" s="6"/>
      <c r="T140" s="6">
        <v>22799.98</v>
      </c>
      <c r="U140" s="6"/>
      <c r="V140" s="6">
        <v>0</v>
      </c>
      <c r="W140" s="6"/>
      <c r="X140" s="6">
        <v>0</v>
      </c>
      <c r="Y140" s="6"/>
      <c r="Z140" s="6">
        <v>0</v>
      </c>
      <c r="AA140" s="6"/>
      <c r="AB140" s="6">
        <v>0</v>
      </c>
      <c r="AC140" s="6"/>
      <c r="AD140" s="6">
        <v>0</v>
      </c>
      <c r="AE140" s="6"/>
      <c r="AF140" s="6">
        <f t="shared" si="4"/>
        <v>578603.29999999993</v>
      </c>
    </row>
    <row r="141" spans="1:64">
      <c r="A141" s="4">
        <v>205</v>
      </c>
      <c r="B141" s="3" t="s">
        <v>169</v>
      </c>
      <c r="D141" s="3" t="s">
        <v>43</v>
      </c>
      <c r="F141" s="1">
        <v>56857.17</v>
      </c>
      <c r="G141" s="1"/>
      <c r="H141" s="1">
        <f>72975.88+420375</f>
        <v>493350.88</v>
      </c>
      <c r="I141" s="1"/>
      <c r="J141" s="1">
        <v>0</v>
      </c>
      <c r="K141" s="1"/>
      <c r="L141" s="1">
        <v>0</v>
      </c>
      <c r="M141" s="1"/>
      <c r="N141" s="1">
        <v>0</v>
      </c>
      <c r="O141" s="1"/>
      <c r="P141" s="1">
        <v>1072.27</v>
      </c>
      <c r="Q141" s="1"/>
      <c r="R141" s="1">
        <v>2938.14</v>
      </c>
      <c r="S141" s="1"/>
      <c r="T141" s="1">
        <v>2349.5100000000002</v>
      </c>
      <c r="U141" s="1"/>
      <c r="V141" s="1">
        <v>0</v>
      </c>
      <c r="W141" s="1"/>
      <c r="X141" s="1">
        <v>0</v>
      </c>
      <c r="Y141" s="1"/>
      <c r="Z141" s="1">
        <v>0</v>
      </c>
      <c r="AA141" s="1"/>
      <c r="AB141" s="1">
        <v>0</v>
      </c>
      <c r="AC141" s="1"/>
      <c r="AD141" s="1">
        <v>0</v>
      </c>
      <c r="AE141" s="4"/>
      <c r="AF141" s="4">
        <f t="shared" si="4"/>
        <v>556567.97000000009</v>
      </c>
    </row>
    <row r="142" spans="1:64">
      <c r="A142" s="4">
        <v>191</v>
      </c>
      <c r="B142" s="3" t="s">
        <v>170</v>
      </c>
      <c r="D142" s="3" t="s">
        <v>171</v>
      </c>
      <c r="F142" s="76">
        <v>0</v>
      </c>
      <c r="G142" s="76"/>
      <c r="H142" s="76">
        <v>1371475.02</v>
      </c>
      <c r="I142" s="76"/>
      <c r="J142" s="76">
        <v>0</v>
      </c>
      <c r="K142" s="76"/>
      <c r="L142" s="76">
        <v>0</v>
      </c>
      <c r="M142" s="76"/>
      <c r="N142" s="76">
        <v>0</v>
      </c>
      <c r="O142" s="76"/>
      <c r="P142" s="76">
        <v>0</v>
      </c>
      <c r="Q142" s="76"/>
      <c r="R142" s="76">
        <v>0</v>
      </c>
      <c r="S142" s="76"/>
      <c r="T142" s="76">
        <v>0</v>
      </c>
      <c r="U142" s="76"/>
      <c r="V142" s="76">
        <v>0</v>
      </c>
      <c r="W142" s="76"/>
      <c r="X142" s="76">
        <v>0</v>
      </c>
      <c r="Y142" s="76"/>
      <c r="Z142" s="76">
        <v>0</v>
      </c>
      <c r="AA142" s="76"/>
      <c r="AB142" s="76">
        <v>0</v>
      </c>
      <c r="AC142" s="76"/>
      <c r="AD142" s="76">
        <v>0</v>
      </c>
      <c r="AE142" s="76"/>
      <c r="AF142" s="76">
        <f t="shared" si="4"/>
        <v>1371475.02</v>
      </c>
    </row>
    <row r="143" spans="1:64">
      <c r="A143" s="4">
        <v>14</v>
      </c>
      <c r="B143" s="35" t="s">
        <v>172</v>
      </c>
      <c r="C143" s="35"/>
      <c r="D143" s="35" t="s">
        <v>464</v>
      </c>
      <c r="E143" s="35"/>
      <c r="F143" s="6">
        <v>0</v>
      </c>
      <c r="G143" s="6"/>
      <c r="H143" s="6">
        <v>351816.97</v>
      </c>
      <c r="I143" s="6"/>
      <c r="J143" s="6">
        <v>0</v>
      </c>
      <c r="K143" s="6"/>
      <c r="L143" s="6">
        <v>0</v>
      </c>
      <c r="M143" s="6"/>
      <c r="N143" s="6">
        <v>0</v>
      </c>
      <c r="O143" s="6"/>
      <c r="P143" s="6">
        <v>0</v>
      </c>
      <c r="Q143" s="6"/>
      <c r="R143" s="6">
        <v>0</v>
      </c>
      <c r="S143" s="6"/>
      <c r="T143" s="6">
        <v>2459.6</v>
      </c>
      <c r="U143" s="6"/>
      <c r="V143" s="6">
        <v>0</v>
      </c>
      <c r="W143" s="6"/>
      <c r="X143" s="6">
        <v>0</v>
      </c>
      <c r="Y143" s="6"/>
      <c r="Z143" s="6">
        <v>0</v>
      </c>
      <c r="AA143" s="6"/>
      <c r="AB143" s="6">
        <v>0</v>
      </c>
      <c r="AC143" s="6"/>
      <c r="AD143" s="6">
        <v>150</v>
      </c>
      <c r="AE143" s="6"/>
      <c r="AF143" s="6">
        <f t="shared" si="4"/>
        <v>354426.56999999995</v>
      </c>
    </row>
    <row r="144" spans="1:64">
      <c r="A144" s="4">
        <v>226</v>
      </c>
      <c r="B144" s="3" t="s">
        <v>173</v>
      </c>
      <c r="D144" s="3" t="s">
        <v>54</v>
      </c>
      <c r="F144" s="6">
        <v>0</v>
      </c>
      <c r="G144" s="6"/>
      <c r="H144" s="6">
        <v>480626.04</v>
      </c>
      <c r="I144" s="6"/>
      <c r="J144" s="6">
        <v>0</v>
      </c>
      <c r="K144" s="6"/>
      <c r="L144" s="6">
        <v>0</v>
      </c>
      <c r="M144" s="6"/>
      <c r="N144" s="6">
        <v>0</v>
      </c>
      <c r="O144" s="6"/>
      <c r="P144" s="6">
        <v>0</v>
      </c>
      <c r="Q144" s="6"/>
      <c r="R144" s="6">
        <v>0</v>
      </c>
      <c r="S144" s="6"/>
      <c r="T144" s="6">
        <v>1384.79</v>
      </c>
      <c r="U144" s="6"/>
      <c r="V144" s="6">
        <v>0</v>
      </c>
      <c r="W144" s="6"/>
      <c r="X144" s="6">
        <v>0</v>
      </c>
      <c r="Y144" s="6"/>
      <c r="Z144" s="6">
        <v>0</v>
      </c>
      <c r="AA144" s="6"/>
      <c r="AB144" s="6">
        <v>0</v>
      </c>
      <c r="AC144" s="6"/>
      <c r="AD144" s="6">
        <v>0</v>
      </c>
      <c r="AE144" s="6"/>
      <c r="AF144" s="6">
        <f t="shared" si="4"/>
        <v>482010.82999999996</v>
      </c>
      <c r="AI144" s="4"/>
    </row>
    <row r="145" spans="1:64">
      <c r="A145" s="4">
        <v>124</v>
      </c>
      <c r="B145" s="3" t="s">
        <v>174</v>
      </c>
      <c r="D145" s="3" t="s">
        <v>13</v>
      </c>
      <c r="F145" s="6">
        <v>0</v>
      </c>
      <c r="G145" s="6"/>
      <c r="H145" s="6">
        <v>716624.9</v>
      </c>
      <c r="I145" s="6"/>
      <c r="J145" s="6">
        <v>0</v>
      </c>
      <c r="K145" s="6"/>
      <c r="L145" s="6">
        <v>0</v>
      </c>
      <c r="M145" s="6"/>
      <c r="N145" s="6">
        <v>0</v>
      </c>
      <c r="O145" s="6"/>
      <c r="P145" s="6">
        <v>0</v>
      </c>
      <c r="Q145" s="6"/>
      <c r="R145" s="6">
        <v>0</v>
      </c>
      <c r="S145" s="6"/>
      <c r="T145" s="6">
        <v>0</v>
      </c>
      <c r="U145" s="6"/>
      <c r="V145" s="6">
        <v>0</v>
      </c>
      <c r="W145" s="6"/>
      <c r="X145" s="6">
        <v>0</v>
      </c>
      <c r="Y145" s="6"/>
      <c r="Z145" s="6">
        <v>60000</v>
      </c>
      <c r="AA145" s="6"/>
      <c r="AB145" s="6">
        <v>0</v>
      </c>
      <c r="AC145" s="6"/>
      <c r="AD145" s="6">
        <v>0</v>
      </c>
      <c r="AE145" s="6"/>
      <c r="AF145" s="6">
        <f t="shared" si="4"/>
        <v>776624.9</v>
      </c>
      <c r="AH145" s="48"/>
      <c r="AI145" s="48"/>
      <c r="AJ145" s="48"/>
      <c r="AK145" s="48"/>
    </row>
    <row r="146" spans="1:64">
      <c r="A146" s="4">
        <v>54</v>
      </c>
      <c r="B146" s="12" t="s">
        <v>431</v>
      </c>
      <c r="C146" s="15"/>
      <c r="D146" s="15" t="s">
        <v>17</v>
      </c>
      <c r="E146" s="15"/>
      <c r="F146" s="1">
        <v>116900</v>
      </c>
      <c r="G146" s="1"/>
      <c r="H146" s="1">
        <v>1255628</v>
      </c>
      <c r="I146" s="1"/>
      <c r="J146" s="1">
        <v>1216787</v>
      </c>
      <c r="K146" s="1"/>
      <c r="L146" s="1">
        <v>631573</v>
      </c>
      <c r="M146" s="1"/>
      <c r="N146" s="1">
        <v>313907</v>
      </c>
      <c r="O146" s="1"/>
      <c r="P146" s="1">
        <v>0</v>
      </c>
      <c r="Q146" s="1"/>
      <c r="R146" s="1">
        <v>0</v>
      </c>
      <c r="S146" s="1"/>
      <c r="T146" s="1">
        <v>30163</v>
      </c>
      <c r="U146" s="1"/>
      <c r="V146" s="1">
        <v>0</v>
      </c>
      <c r="W146" s="1"/>
      <c r="X146" s="1">
        <v>0</v>
      </c>
      <c r="Y146" s="1"/>
      <c r="Z146" s="1">
        <v>171971</v>
      </c>
      <c r="AA146" s="1"/>
      <c r="AB146" s="1">
        <v>0</v>
      </c>
      <c r="AC146" s="1"/>
      <c r="AD146" s="1">
        <v>0</v>
      </c>
      <c r="AE146" s="15"/>
      <c r="AF146" s="4">
        <f t="shared" si="4"/>
        <v>3736929</v>
      </c>
    </row>
    <row r="147" spans="1:64">
      <c r="A147" s="4">
        <v>25</v>
      </c>
      <c r="B147" s="3" t="s">
        <v>7</v>
      </c>
      <c r="D147" s="3" t="s">
        <v>8</v>
      </c>
      <c r="F147" s="1">
        <v>207245</v>
      </c>
      <c r="G147" s="1"/>
      <c r="H147" s="1">
        <v>1832776</v>
      </c>
      <c r="I147" s="1"/>
      <c r="J147" s="1">
        <v>1606366</v>
      </c>
      <c r="K147" s="1"/>
      <c r="L147" s="1">
        <v>598681</v>
      </c>
      <c r="M147" s="1"/>
      <c r="N147" s="1">
        <v>715107</v>
      </c>
      <c r="O147" s="1"/>
      <c r="P147" s="1">
        <v>0</v>
      </c>
      <c r="Q147" s="1"/>
      <c r="R147" s="1">
        <v>0</v>
      </c>
      <c r="S147" s="1"/>
      <c r="T147" s="1">
        <v>381332</v>
      </c>
      <c r="U147" s="1"/>
      <c r="V147" s="1">
        <v>0</v>
      </c>
      <c r="W147" s="1"/>
      <c r="X147" s="1">
        <v>0</v>
      </c>
      <c r="Y147" s="1"/>
      <c r="Z147" s="1">
        <v>2200000</v>
      </c>
      <c r="AA147" s="1"/>
      <c r="AB147" s="1">
        <v>0</v>
      </c>
      <c r="AC147" s="1"/>
      <c r="AD147" s="1">
        <v>0</v>
      </c>
      <c r="AE147" s="4"/>
      <c r="AF147" s="4">
        <f t="shared" si="4"/>
        <v>7541507</v>
      </c>
      <c r="AG147" s="47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4"/>
    </row>
    <row r="148" spans="1:64">
      <c r="A148" s="4">
        <v>241</v>
      </c>
      <c r="B148" s="3" t="s">
        <v>175</v>
      </c>
      <c r="D148" s="3" t="s">
        <v>52</v>
      </c>
      <c r="F148" s="6">
        <v>0</v>
      </c>
      <c r="G148" s="6"/>
      <c r="H148" s="6">
        <v>1101635.3799999999</v>
      </c>
      <c r="I148" s="6"/>
      <c r="J148" s="6">
        <v>0</v>
      </c>
      <c r="K148" s="6"/>
      <c r="L148" s="6">
        <v>0</v>
      </c>
      <c r="M148" s="6"/>
      <c r="N148" s="6">
        <v>0</v>
      </c>
      <c r="O148" s="6"/>
      <c r="P148" s="6">
        <v>0</v>
      </c>
      <c r="Q148" s="6"/>
      <c r="R148" s="6">
        <v>0</v>
      </c>
      <c r="S148" s="6"/>
      <c r="T148" s="6">
        <v>36515.06</v>
      </c>
      <c r="U148" s="6"/>
      <c r="V148" s="6">
        <v>0</v>
      </c>
      <c r="W148" s="6"/>
      <c r="X148" s="6">
        <v>0</v>
      </c>
      <c r="Y148" s="6"/>
      <c r="Z148" s="6">
        <v>0</v>
      </c>
      <c r="AA148" s="6"/>
      <c r="AB148" s="6">
        <v>0</v>
      </c>
      <c r="AC148" s="6"/>
      <c r="AD148" s="6">
        <v>15566.73</v>
      </c>
      <c r="AE148" s="6"/>
      <c r="AF148" s="6">
        <f t="shared" si="4"/>
        <v>1153717.17</v>
      </c>
      <c r="AG148" s="47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4"/>
    </row>
    <row r="149" spans="1:64">
      <c r="A149" s="4">
        <v>41</v>
      </c>
      <c r="B149" s="35" t="s">
        <v>305</v>
      </c>
      <c r="C149" s="35"/>
      <c r="D149" s="35" t="s">
        <v>474</v>
      </c>
      <c r="E149" s="35"/>
      <c r="F149" s="6">
        <v>0</v>
      </c>
      <c r="G149" s="6"/>
      <c r="H149" s="6">
        <v>216495.88</v>
      </c>
      <c r="I149" s="6"/>
      <c r="J149" s="6">
        <v>0</v>
      </c>
      <c r="K149" s="6"/>
      <c r="L149" s="6">
        <v>0</v>
      </c>
      <c r="M149" s="6"/>
      <c r="N149" s="6">
        <v>0</v>
      </c>
      <c r="O149" s="6"/>
      <c r="P149" s="6">
        <v>0</v>
      </c>
      <c r="Q149" s="6"/>
      <c r="R149" s="6">
        <v>0</v>
      </c>
      <c r="S149" s="6"/>
      <c r="T149" s="6">
        <v>919.71</v>
      </c>
      <c r="U149" s="6"/>
      <c r="V149" s="6">
        <v>0</v>
      </c>
      <c r="W149" s="6"/>
      <c r="X149" s="6">
        <v>0</v>
      </c>
      <c r="Y149" s="6"/>
      <c r="Z149" s="6">
        <v>5268</v>
      </c>
      <c r="AA149" s="6"/>
      <c r="AB149" s="6">
        <v>0</v>
      </c>
      <c r="AC149" s="6"/>
      <c r="AD149" s="6">
        <v>0</v>
      </c>
      <c r="AE149" s="6"/>
      <c r="AF149" s="6">
        <f t="shared" si="4"/>
        <v>222683.59</v>
      </c>
    </row>
    <row r="150" spans="1:64" s="4" customFormat="1">
      <c r="A150" s="4">
        <v>42</v>
      </c>
      <c r="B150" s="3" t="s">
        <v>176</v>
      </c>
      <c r="C150" s="3"/>
      <c r="D150" s="3" t="s">
        <v>49</v>
      </c>
      <c r="E150" s="3"/>
      <c r="F150" s="6">
        <v>0</v>
      </c>
      <c r="G150" s="6"/>
      <c r="H150" s="6">
        <v>834987.89</v>
      </c>
      <c r="I150" s="6"/>
      <c r="J150" s="6">
        <v>0</v>
      </c>
      <c r="K150" s="6"/>
      <c r="L150" s="6">
        <v>0</v>
      </c>
      <c r="M150" s="6"/>
      <c r="N150" s="6">
        <v>0</v>
      </c>
      <c r="O150" s="6"/>
      <c r="P150" s="6">
        <v>0</v>
      </c>
      <c r="Q150" s="6"/>
      <c r="R150" s="6">
        <v>0</v>
      </c>
      <c r="S150" s="6"/>
      <c r="T150" s="6">
        <v>0</v>
      </c>
      <c r="U150" s="6"/>
      <c r="V150" s="6">
        <v>18800</v>
      </c>
      <c r="W150" s="6"/>
      <c r="X150" s="6">
        <v>7516.97</v>
      </c>
      <c r="Y150" s="6"/>
      <c r="Z150" s="6">
        <v>0</v>
      </c>
      <c r="AA150" s="6"/>
      <c r="AB150" s="6">
        <v>0</v>
      </c>
      <c r="AC150" s="6"/>
      <c r="AD150" s="6">
        <v>0</v>
      </c>
      <c r="AE150" s="6"/>
      <c r="AF150" s="6">
        <f t="shared" si="4"/>
        <v>861304.86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s="4" customFormat="1">
      <c r="A151" s="4">
        <v>104</v>
      </c>
      <c r="B151" s="3" t="s">
        <v>177</v>
      </c>
      <c r="C151" s="3"/>
      <c r="D151" s="3" t="s">
        <v>58</v>
      </c>
      <c r="E151" s="3"/>
      <c r="F151" s="6">
        <v>0</v>
      </c>
      <c r="G151" s="6"/>
      <c r="H151" s="6">
        <v>181210.23999999999</v>
      </c>
      <c r="I151" s="6"/>
      <c r="J151" s="6">
        <v>0</v>
      </c>
      <c r="K151" s="6"/>
      <c r="L151" s="6">
        <v>0</v>
      </c>
      <c r="M151" s="6"/>
      <c r="N151" s="6">
        <v>0</v>
      </c>
      <c r="O151" s="6"/>
      <c r="P151" s="6">
        <v>0</v>
      </c>
      <c r="Q151" s="6"/>
      <c r="R151" s="6">
        <v>0</v>
      </c>
      <c r="S151" s="6"/>
      <c r="T151" s="6">
        <v>0</v>
      </c>
      <c r="U151" s="6"/>
      <c r="V151" s="6">
        <v>45075.45</v>
      </c>
      <c r="W151" s="6"/>
      <c r="X151" s="6">
        <v>6842.63</v>
      </c>
      <c r="Y151" s="6"/>
      <c r="Z151" s="6">
        <v>0</v>
      </c>
      <c r="AA151" s="6"/>
      <c r="AB151" s="6">
        <v>0</v>
      </c>
      <c r="AC151" s="6"/>
      <c r="AD151" s="6">
        <v>0</v>
      </c>
      <c r="AE151" s="6"/>
      <c r="AF151" s="6">
        <f t="shared" si="4"/>
        <v>233128.32000000001</v>
      </c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s="4" customFormat="1">
      <c r="A152" s="4">
        <v>134</v>
      </c>
      <c r="B152" s="3" t="s">
        <v>561</v>
      </c>
      <c r="C152" s="3"/>
      <c r="D152" s="3" t="s">
        <v>39</v>
      </c>
      <c r="E152" s="3"/>
      <c r="F152" s="1">
        <v>136791</v>
      </c>
      <c r="G152" s="1"/>
      <c r="H152" s="1">
        <v>1719545</v>
      </c>
      <c r="I152" s="1"/>
      <c r="J152" s="1">
        <v>801975</v>
      </c>
      <c r="K152" s="1"/>
      <c r="L152" s="1">
        <v>335984</v>
      </c>
      <c r="M152" s="1"/>
      <c r="N152" s="1">
        <v>375162</v>
      </c>
      <c r="O152" s="1"/>
      <c r="P152" s="1">
        <v>0</v>
      </c>
      <c r="Q152" s="1"/>
      <c r="R152" s="1">
        <v>0</v>
      </c>
      <c r="S152" s="1"/>
      <c r="T152" s="1">
        <v>141532</v>
      </c>
      <c r="U152" s="1"/>
      <c r="V152" s="1">
        <v>0</v>
      </c>
      <c r="W152" s="1"/>
      <c r="X152" s="1">
        <v>0</v>
      </c>
      <c r="Y152" s="1"/>
      <c r="Z152" s="1">
        <v>500000</v>
      </c>
      <c r="AA152" s="1"/>
      <c r="AB152" s="1">
        <v>5568</v>
      </c>
      <c r="AC152" s="1"/>
      <c r="AD152" s="1">
        <v>0</v>
      </c>
      <c r="AF152" s="4">
        <f t="shared" si="4"/>
        <v>4016557</v>
      </c>
      <c r="AG152" s="47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</row>
    <row r="153" spans="1:64" s="4" customFormat="1">
      <c r="A153" s="4">
        <v>5</v>
      </c>
      <c r="B153" s="3" t="s">
        <v>178</v>
      </c>
      <c r="C153" s="3"/>
      <c r="D153" s="3" t="s">
        <v>95</v>
      </c>
      <c r="E153" s="3"/>
      <c r="F153" s="1">
        <v>16949</v>
      </c>
      <c r="G153" s="1"/>
      <c r="H153" s="1">
        <v>1812317</v>
      </c>
      <c r="I153" s="1"/>
      <c r="J153" s="1">
        <v>190660</v>
      </c>
      <c r="K153" s="1"/>
      <c r="L153" s="1">
        <v>152288</v>
      </c>
      <c r="M153" s="1"/>
      <c r="N153" s="1">
        <v>9217</v>
      </c>
      <c r="O153" s="1"/>
      <c r="P153" s="1">
        <v>0</v>
      </c>
      <c r="Q153" s="1"/>
      <c r="R153" s="1">
        <v>0</v>
      </c>
      <c r="S153" s="1"/>
      <c r="T153" s="1">
        <v>39996</v>
      </c>
      <c r="U153" s="1"/>
      <c r="V153" s="1">
        <v>0</v>
      </c>
      <c r="W153" s="1"/>
      <c r="X153" s="1">
        <v>0</v>
      </c>
      <c r="Y153" s="1"/>
      <c r="Z153" s="1">
        <v>600000</v>
      </c>
      <c r="AA153" s="1"/>
      <c r="AB153" s="1">
        <v>0</v>
      </c>
      <c r="AC153" s="1"/>
      <c r="AD153" s="1">
        <v>0</v>
      </c>
      <c r="AF153" s="4">
        <f t="shared" si="4"/>
        <v>2821427</v>
      </c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s="4" customFormat="1">
      <c r="A154" s="4">
        <v>139</v>
      </c>
      <c r="B154" s="3" t="s">
        <v>562</v>
      </c>
      <c r="C154" s="3"/>
      <c r="D154" s="3" t="s">
        <v>85</v>
      </c>
      <c r="E154" s="3"/>
      <c r="F154" s="1">
        <v>168821</v>
      </c>
      <c r="G154" s="1"/>
      <c r="H154" s="1">
        <f>130247+636283+260485</f>
        <v>1027015</v>
      </c>
      <c r="I154" s="1"/>
      <c r="J154" s="1">
        <v>0</v>
      </c>
      <c r="K154" s="1"/>
      <c r="L154" s="1">
        <v>0</v>
      </c>
      <c r="M154" s="1"/>
      <c r="N154" s="1">
        <v>0</v>
      </c>
      <c r="O154" s="1"/>
      <c r="P154" s="1">
        <v>27172</v>
      </c>
      <c r="Q154" s="1"/>
      <c r="R154" s="1">
        <v>20671</v>
      </c>
      <c r="S154" s="1"/>
      <c r="T154" s="1">
        <v>27646</v>
      </c>
      <c r="U154" s="1"/>
      <c r="V154" s="1">
        <v>0</v>
      </c>
      <c r="W154" s="1"/>
      <c r="X154" s="1">
        <v>0</v>
      </c>
      <c r="Y154" s="1"/>
      <c r="Z154" s="1">
        <v>0</v>
      </c>
      <c r="AA154" s="1"/>
      <c r="AB154" s="1">
        <v>0</v>
      </c>
      <c r="AC154" s="1"/>
      <c r="AD154" s="1">
        <v>0</v>
      </c>
      <c r="AF154" s="4">
        <f t="shared" si="4"/>
        <v>1271325</v>
      </c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s="4" customFormat="1">
      <c r="A155" s="4">
        <v>108</v>
      </c>
      <c r="B155" s="3" t="s">
        <v>563</v>
      </c>
      <c r="C155" s="3"/>
      <c r="D155" s="3" t="s">
        <v>179</v>
      </c>
      <c r="E155" s="3"/>
      <c r="F155" s="1">
        <v>63313</v>
      </c>
      <c r="G155" s="1"/>
      <c r="H155" s="1">
        <v>0</v>
      </c>
      <c r="I155" s="1"/>
      <c r="J155" s="1">
        <v>138890</v>
      </c>
      <c r="K155" s="1"/>
      <c r="L155" s="1">
        <v>179725</v>
      </c>
      <c r="M155" s="1"/>
      <c r="N155" s="1">
        <v>461826</v>
      </c>
      <c r="O155" s="1"/>
      <c r="P155" s="1">
        <v>0</v>
      </c>
      <c r="Q155" s="1"/>
      <c r="R155" s="1">
        <v>0</v>
      </c>
      <c r="S155" s="1"/>
      <c r="T155" s="1">
        <v>0</v>
      </c>
      <c r="U155" s="1"/>
      <c r="V155" s="1">
        <v>0</v>
      </c>
      <c r="W155" s="1"/>
      <c r="X155" s="1">
        <v>0</v>
      </c>
      <c r="Y155" s="1"/>
      <c r="Z155" s="1">
        <v>0</v>
      </c>
      <c r="AA155" s="1"/>
      <c r="AB155" s="1">
        <v>0</v>
      </c>
      <c r="AC155" s="1"/>
      <c r="AD155" s="1">
        <v>0</v>
      </c>
      <c r="AF155" s="4">
        <f t="shared" si="4"/>
        <v>843754</v>
      </c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 s="4" customFormat="1">
      <c r="A156" s="4">
        <v>149</v>
      </c>
      <c r="B156" s="3" t="s">
        <v>9</v>
      </c>
      <c r="C156" s="3"/>
      <c r="D156" s="3" t="s">
        <v>10</v>
      </c>
      <c r="E156" s="3"/>
      <c r="F156" s="1">
        <v>0</v>
      </c>
      <c r="G156" s="1"/>
      <c r="H156" s="1">
        <v>752890</v>
      </c>
      <c r="I156" s="1"/>
      <c r="J156" s="1">
        <v>0</v>
      </c>
      <c r="K156" s="1"/>
      <c r="L156" s="1">
        <v>0</v>
      </c>
      <c r="M156" s="1"/>
      <c r="N156" s="1">
        <v>0</v>
      </c>
      <c r="O156" s="1"/>
      <c r="P156" s="1">
        <v>0</v>
      </c>
      <c r="Q156" s="1"/>
      <c r="R156" s="1">
        <v>0</v>
      </c>
      <c r="S156" s="1"/>
      <c r="T156" s="1">
        <v>0</v>
      </c>
      <c r="U156" s="1"/>
      <c r="V156" s="1">
        <v>0</v>
      </c>
      <c r="W156" s="1"/>
      <c r="X156" s="1">
        <v>0</v>
      </c>
      <c r="Y156" s="1"/>
      <c r="Z156" s="1">
        <v>95000</v>
      </c>
      <c r="AA156" s="1"/>
      <c r="AB156" s="1">
        <v>0</v>
      </c>
      <c r="AC156" s="1"/>
      <c r="AD156" s="1">
        <v>0</v>
      </c>
      <c r="AF156" s="4">
        <f t="shared" si="4"/>
        <v>847890</v>
      </c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s="4" customFormat="1">
      <c r="A157" s="4">
        <v>145</v>
      </c>
      <c r="B157" s="3" t="s">
        <v>180</v>
      </c>
      <c r="C157" s="3"/>
      <c r="D157" s="3" t="s">
        <v>55</v>
      </c>
      <c r="E157" s="3"/>
      <c r="F157" s="1">
        <v>0</v>
      </c>
      <c r="G157" s="1"/>
      <c r="H157" s="1">
        <v>2009551</v>
      </c>
      <c r="I157" s="1"/>
      <c r="J157" s="1">
        <v>194087</v>
      </c>
      <c r="K157" s="1"/>
      <c r="L157" s="1">
        <v>38463</v>
      </c>
      <c r="M157" s="1"/>
      <c r="N157" s="1">
        <v>0</v>
      </c>
      <c r="O157" s="1"/>
      <c r="P157" s="1">
        <v>0</v>
      </c>
      <c r="Q157" s="1"/>
      <c r="R157" s="1">
        <v>0</v>
      </c>
      <c r="S157" s="1"/>
      <c r="T157" s="1">
        <v>56818</v>
      </c>
      <c r="U157" s="1"/>
      <c r="V157" s="1">
        <v>0</v>
      </c>
      <c r="W157" s="1"/>
      <c r="X157" s="1">
        <v>0</v>
      </c>
      <c r="Y157" s="1"/>
      <c r="Z157" s="1">
        <v>0</v>
      </c>
      <c r="AA157" s="1"/>
      <c r="AB157" s="1">
        <v>0</v>
      </c>
      <c r="AC157" s="1"/>
      <c r="AD157" s="1">
        <v>1110349</v>
      </c>
      <c r="AF157" s="4">
        <f t="shared" si="4"/>
        <v>3409268</v>
      </c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 s="4" customFormat="1">
      <c r="A158" s="4">
        <v>7</v>
      </c>
      <c r="B158" s="3" t="s">
        <v>181</v>
      </c>
      <c r="C158" s="3"/>
      <c r="D158" s="3" t="s">
        <v>81</v>
      </c>
      <c r="E158" s="3"/>
      <c r="F158" s="1">
        <v>40083</v>
      </c>
      <c r="G158" s="1"/>
      <c r="H158" s="1">
        <v>188270</v>
      </c>
      <c r="I158" s="1"/>
      <c r="J158" s="1">
        <v>67657</v>
      </c>
      <c r="K158" s="1"/>
      <c r="L158" s="1">
        <v>82477</v>
      </c>
      <c r="M158" s="1"/>
      <c r="N158" s="1">
        <v>148960</v>
      </c>
      <c r="O158" s="1"/>
      <c r="P158" s="1">
        <v>0</v>
      </c>
      <c r="Q158" s="1"/>
      <c r="R158" s="1">
        <v>0</v>
      </c>
      <c r="S158" s="1"/>
      <c r="T158" s="1">
        <v>10718</v>
      </c>
      <c r="U158" s="1"/>
      <c r="V158" s="1">
        <v>0</v>
      </c>
      <c r="W158" s="1"/>
      <c r="X158" s="1">
        <v>0</v>
      </c>
      <c r="Y158" s="1"/>
      <c r="Z158" s="1">
        <v>0</v>
      </c>
      <c r="AA158" s="1"/>
      <c r="AB158" s="1">
        <v>0</v>
      </c>
      <c r="AC158" s="1"/>
      <c r="AD158" s="1">
        <v>0</v>
      </c>
      <c r="AF158" s="4">
        <f t="shared" si="4"/>
        <v>538165</v>
      </c>
      <c r="AG158" s="47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</row>
    <row r="159" spans="1:64" s="4" customFormat="1">
      <c r="A159" s="4">
        <v>210</v>
      </c>
      <c r="B159" s="3" t="s">
        <v>306</v>
      </c>
      <c r="C159" s="3"/>
      <c r="D159" s="3" t="s">
        <v>23</v>
      </c>
      <c r="E159" s="3"/>
      <c r="F159" s="6">
        <v>0</v>
      </c>
      <c r="G159" s="6"/>
      <c r="H159" s="6">
        <v>713363.55</v>
      </c>
      <c r="I159" s="6"/>
      <c r="J159" s="6">
        <v>0</v>
      </c>
      <c r="K159" s="6"/>
      <c r="L159" s="6">
        <v>0</v>
      </c>
      <c r="M159" s="6"/>
      <c r="N159" s="6">
        <v>0</v>
      </c>
      <c r="O159" s="6"/>
      <c r="P159" s="6">
        <v>0</v>
      </c>
      <c r="Q159" s="6"/>
      <c r="R159" s="6">
        <v>0</v>
      </c>
      <c r="S159" s="6"/>
      <c r="T159" s="6">
        <v>17689.86</v>
      </c>
      <c r="U159" s="6"/>
      <c r="V159" s="6">
        <v>0</v>
      </c>
      <c r="W159" s="6"/>
      <c r="X159" s="6">
        <v>0</v>
      </c>
      <c r="Y159" s="6"/>
      <c r="Z159" s="6">
        <v>85000</v>
      </c>
      <c r="AA159" s="6"/>
      <c r="AB159" s="6">
        <v>0</v>
      </c>
      <c r="AC159" s="6"/>
      <c r="AD159" s="6">
        <v>0</v>
      </c>
      <c r="AE159" s="6"/>
      <c r="AF159" s="6">
        <f t="shared" si="4"/>
        <v>816053.41</v>
      </c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</row>
    <row r="160" spans="1:64">
      <c r="A160" s="4">
        <v>125</v>
      </c>
      <c r="B160" s="3" t="s">
        <v>182</v>
      </c>
      <c r="D160" s="3" t="s">
        <v>13</v>
      </c>
      <c r="F160" s="1">
        <v>0</v>
      </c>
      <c r="G160" s="1"/>
      <c r="H160" s="1">
        <v>1093983</v>
      </c>
      <c r="I160" s="1"/>
      <c r="J160" s="1">
        <v>0</v>
      </c>
      <c r="K160" s="1"/>
      <c r="L160" s="1">
        <v>0</v>
      </c>
      <c r="M160" s="1"/>
      <c r="N160" s="1">
        <v>0</v>
      </c>
      <c r="O160" s="1"/>
      <c r="P160" s="1">
        <v>0</v>
      </c>
      <c r="Q160" s="1"/>
      <c r="R160" s="1">
        <v>0</v>
      </c>
      <c r="S160" s="1"/>
      <c r="T160" s="1">
        <v>0</v>
      </c>
      <c r="U160" s="1"/>
      <c r="V160" s="1">
        <v>0</v>
      </c>
      <c r="W160" s="1"/>
      <c r="X160" s="1">
        <v>0</v>
      </c>
      <c r="Y160" s="1"/>
      <c r="Z160" s="1">
        <v>150000</v>
      </c>
      <c r="AA160" s="1"/>
      <c r="AB160" s="1">
        <v>0</v>
      </c>
      <c r="AC160" s="1"/>
      <c r="AD160" s="1">
        <v>0</v>
      </c>
      <c r="AE160" s="4"/>
      <c r="AF160" s="4">
        <f t="shared" si="4"/>
        <v>1243983</v>
      </c>
      <c r="AG160" s="47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4"/>
    </row>
    <row r="161" spans="1:64">
      <c r="A161" s="4">
        <v>197</v>
      </c>
      <c r="B161" s="3" t="s">
        <v>590</v>
      </c>
      <c r="D161" s="3" t="s">
        <v>183</v>
      </c>
      <c r="F161" s="1">
        <v>745917</v>
      </c>
      <c r="G161" s="1"/>
      <c r="H161" s="1">
        <f>824516+3748611+1649619</f>
        <v>6222746</v>
      </c>
      <c r="I161" s="1"/>
      <c r="J161" s="1">
        <v>0</v>
      </c>
      <c r="K161" s="1"/>
      <c r="L161" s="1">
        <v>0</v>
      </c>
      <c r="M161" s="1"/>
      <c r="N161" s="1">
        <v>0</v>
      </c>
      <c r="O161" s="1"/>
      <c r="P161" s="1">
        <v>124696</v>
      </c>
      <c r="Q161" s="1"/>
      <c r="R161" s="1">
        <v>28629</v>
      </c>
      <c r="S161" s="1"/>
      <c r="T161" s="1">
        <v>8587</v>
      </c>
      <c r="U161" s="1"/>
      <c r="V161" s="1">
        <v>0</v>
      </c>
      <c r="W161" s="1"/>
      <c r="X161" s="1">
        <v>0</v>
      </c>
      <c r="Y161" s="1"/>
      <c r="Z161" s="1">
        <v>228800</v>
      </c>
      <c r="AA161" s="1"/>
      <c r="AB161" s="1">
        <v>0</v>
      </c>
      <c r="AC161" s="1"/>
      <c r="AD161" s="1">
        <v>0</v>
      </c>
      <c r="AE161" s="4"/>
      <c r="AF161" s="4">
        <f t="shared" ref="AF161:AF167" si="5">SUM(F161:AD161)</f>
        <v>7359375</v>
      </c>
      <c r="AG161" s="47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4"/>
    </row>
    <row r="162" spans="1:64">
      <c r="A162" s="4">
        <v>195</v>
      </c>
      <c r="B162" s="3" t="s">
        <v>184</v>
      </c>
      <c r="D162" s="3" t="s">
        <v>100</v>
      </c>
      <c r="F162" s="6">
        <v>0</v>
      </c>
      <c r="G162" s="6"/>
      <c r="H162" s="6">
        <v>47003.12</v>
      </c>
      <c r="I162" s="6"/>
      <c r="J162" s="6">
        <v>0</v>
      </c>
      <c r="K162" s="6"/>
      <c r="L162" s="6">
        <v>0</v>
      </c>
      <c r="M162" s="6"/>
      <c r="N162" s="6">
        <v>0</v>
      </c>
      <c r="O162" s="6"/>
      <c r="P162" s="6">
        <v>0</v>
      </c>
      <c r="Q162" s="6"/>
      <c r="R162" s="6">
        <v>0</v>
      </c>
      <c r="S162" s="6"/>
      <c r="T162" s="6">
        <v>0</v>
      </c>
      <c r="U162" s="6"/>
      <c r="V162" s="6">
        <v>0</v>
      </c>
      <c r="W162" s="6"/>
      <c r="X162" s="6">
        <v>0</v>
      </c>
      <c r="Y162" s="6"/>
      <c r="Z162" s="6">
        <v>0</v>
      </c>
      <c r="AA162" s="6"/>
      <c r="AB162" s="6">
        <v>0</v>
      </c>
      <c r="AC162" s="6"/>
      <c r="AD162" s="6">
        <v>0</v>
      </c>
      <c r="AE162" s="6"/>
      <c r="AF162" s="6">
        <f t="shared" si="5"/>
        <v>47003.12</v>
      </c>
      <c r="AG162" s="47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4"/>
    </row>
    <row r="163" spans="1:64">
      <c r="A163" s="4">
        <v>154</v>
      </c>
      <c r="B163" s="3" t="s">
        <v>185</v>
      </c>
      <c r="D163" s="3" t="s">
        <v>186</v>
      </c>
      <c r="F163" s="1">
        <v>0</v>
      </c>
      <c r="G163" s="1"/>
      <c r="H163" s="1">
        <v>1714994</v>
      </c>
      <c r="I163" s="1"/>
      <c r="J163" s="1">
        <v>0</v>
      </c>
      <c r="K163" s="1"/>
      <c r="L163" s="1">
        <v>0</v>
      </c>
      <c r="M163" s="1"/>
      <c r="N163" s="1">
        <v>0</v>
      </c>
      <c r="O163" s="1"/>
      <c r="P163" s="1">
        <v>0</v>
      </c>
      <c r="Q163" s="1"/>
      <c r="R163" s="1">
        <v>0</v>
      </c>
      <c r="S163" s="1"/>
      <c r="T163" s="1">
        <v>0</v>
      </c>
      <c r="U163" s="1"/>
      <c r="V163" s="1">
        <v>0</v>
      </c>
      <c r="W163" s="1"/>
      <c r="X163" s="1">
        <v>0</v>
      </c>
      <c r="Y163" s="1"/>
      <c r="Z163" s="1">
        <v>500000</v>
      </c>
      <c r="AA163" s="1"/>
      <c r="AB163" s="1">
        <v>0</v>
      </c>
      <c r="AC163" s="1"/>
      <c r="AD163" s="1">
        <v>0</v>
      </c>
      <c r="AE163" s="4"/>
      <c r="AF163" s="4">
        <f t="shared" si="5"/>
        <v>2214994</v>
      </c>
      <c r="AG163" s="47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4"/>
    </row>
    <row r="164" spans="1:64">
      <c r="A164" s="4">
        <v>21</v>
      </c>
      <c r="B164" s="35" t="s">
        <v>424</v>
      </c>
      <c r="C164" s="35"/>
      <c r="D164" s="35" t="s">
        <v>467</v>
      </c>
      <c r="E164" s="35"/>
      <c r="F164" s="6">
        <v>0</v>
      </c>
      <c r="G164" s="6"/>
      <c r="H164" s="6">
        <v>1067155.6499999999</v>
      </c>
      <c r="I164" s="6"/>
      <c r="J164" s="6">
        <v>0</v>
      </c>
      <c r="K164" s="6"/>
      <c r="L164" s="6">
        <v>0</v>
      </c>
      <c r="M164" s="6"/>
      <c r="N164" s="6">
        <v>0</v>
      </c>
      <c r="O164" s="6"/>
      <c r="P164" s="6">
        <v>0</v>
      </c>
      <c r="Q164" s="6"/>
      <c r="R164" s="6">
        <v>0</v>
      </c>
      <c r="S164" s="6"/>
      <c r="T164" s="6">
        <v>73808.570000000007</v>
      </c>
      <c r="U164" s="6"/>
      <c r="V164" s="6">
        <v>0</v>
      </c>
      <c r="W164" s="6"/>
      <c r="X164" s="6">
        <v>0</v>
      </c>
      <c r="Y164" s="6"/>
      <c r="Z164" s="6">
        <v>0</v>
      </c>
      <c r="AA164" s="6"/>
      <c r="AB164" s="6">
        <v>0</v>
      </c>
      <c r="AC164" s="6"/>
      <c r="AD164" s="6">
        <v>311.57</v>
      </c>
      <c r="AE164" s="6"/>
      <c r="AF164" s="6">
        <f t="shared" si="5"/>
        <v>1141275.79</v>
      </c>
      <c r="AI164" s="4"/>
    </row>
    <row r="165" spans="1:64">
      <c r="A165" s="4">
        <v>198</v>
      </c>
      <c r="B165" s="3" t="s">
        <v>187</v>
      </c>
      <c r="D165" s="3" t="s">
        <v>183</v>
      </c>
      <c r="F165" s="6">
        <v>0</v>
      </c>
      <c r="G165" s="6"/>
      <c r="H165" s="6">
        <v>511320.74</v>
      </c>
      <c r="I165" s="6"/>
      <c r="J165" s="6">
        <v>0</v>
      </c>
      <c r="K165" s="6"/>
      <c r="L165" s="6">
        <v>0</v>
      </c>
      <c r="M165" s="6"/>
      <c r="N165" s="6">
        <v>0</v>
      </c>
      <c r="O165" s="6"/>
      <c r="P165" s="6">
        <v>0</v>
      </c>
      <c r="Q165" s="6"/>
      <c r="R165" s="6">
        <v>0</v>
      </c>
      <c r="S165" s="6"/>
      <c r="T165" s="6">
        <v>7483.77</v>
      </c>
      <c r="U165" s="6"/>
      <c r="V165" s="6">
        <v>0</v>
      </c>
      <c r="W165" s="6"/>
      <c r="X165" s="6">
        <v>530.5</v>
      </c>
      <c r="Y165" s="6"/>
      <c r="Z165" s="6">
        <v>0</v>
      </c>
      <c r="AA165" s="6"/>
      <c r="AB165" s="6">
        <v>0</v>
      </c>
      <c r="AC165" s="6"/>
      <c r="AD165" s="6">
        <v>0</v>
      </c>
      <c r="AE165" s="6"/>
      <c r="AF165" s="6">
        <f t="shared" si="5"/>
        <v>519335.01</v>
      </c>
    </row>
    <row r="166" spans="1:64">
      <c r="A166" s="4">
        <v>242</v>
      </c>
      <c r="B166" s="35" t="s">
        <v>188</v>
      </c>
      <c r="C166" s="35"/>
      <c r="D166" s="35" t="s">
        <v>495</v>
      </c>
      <c r="E166" s="35"/>
      <c r="F166" s="6">
        <v>17321.240000000002</v>
      </c>
      <c r="G166" s="6"/>
      <c r="H166" s="6">
        <v>436317</v>
      </c>
      <c r="I166" s="6"/>
      <c r="J166" s="6">
        <v>84159.01</v>
      </c>
      <c r="K166" s="6"/>
      <c r="L166" s="6">
        <v>60675.77</v>
      </c>
      <c r="M166" s="6"/>
      <c r="N166" s="6">
        <v>20502.650000000001</v>
      </c>
      <c r="O166" s="6"/>
      <c r="P166" s="6">
        <v>0</v>
      </c>
      <c r="Q166" s="6"/>
      <c r="R166" s="6">
        <v>0</v>
      </c>
      <c r="S166" s="6"/>
      <c r="T166" s="6">
        <v>0</v>
      </c>
      <c r="U166" s="6"/>
      <c r="V166" s="6">
        <v>0</v>
      </c>
      <c r="W166" s="6"/>
      <c r="X166" s="6">
        <v>0</v>
      </c>
      <c r="Y166" s="6"/>
      <c r="Z166" s="6">
        <v>250000</v>
      </c>
      <c r="AA166" s="6"/>
      <c r="AB166" s="6">
        <v>0</v>
      </c>
      <c r="AC166" s="6"/>
      <c r="AD166" s="6">
        <v>0</v>
      </c>
      <c r="AE166" s="6"/>
      <c r="AF166" s="6">
        <f t="shared" si="5"/>
        <v>868975.67</v>
      </c>
    </row>
    <row r="167" spans="1:64">
      <c r="A167" s="4">
        <v>99</v>
      </c>
      <c r="B167" s="3" t="s">
        <v>189</v>
      </c>
      <c r="D167" s="3" t="s">
        <v>59</v>
      </c>
      <c r="F167" s="6">
        <v>0</v>
      </c>
      <c r="G167" s="6"/>
      <c r="H167" s="6">
        <v>625017.84</v>
      </c>
      <c r="I167" s="6"/>
      <c r="J167" s="6">
        <v>0</v>
      </c>
      <c r="K167" s="6"/>
      <c r="L167" s="6">
        <v>0</v>
      </c>
      <c r="M167" s="6"/>
      <c r="N167" s="6">
        <v>0</v>
      </c>
      <c r="O167" s="6"/>
      <c r="P167" s="6">
        <v>0</v>
      </c>
      <c r="Q167" s="6"/>
      <c r="R167" s="6">
        <v>0</v>
      </c>
      <c r="S167" s="6"/>
      <c r="T167" s="6">
        <v>25000</v>
      </c>
      <c r="U167" s="6"/>
      <c r="V167" s="6">
        <v>0</v>
      </c>
      <c r="W167" s="6"/>
      <c r="X167" s="6">
        <v>0</v>
      </c>
      <c r="Y167" s="6"/>
      <c r="Z167" s="6">
        <v>0</v>
      </c>
      <c r="AA167" s="6"/>
      <c r="AB167" s="6">
        <v>0</v>
      </c>
      <c r="AC167" s="6"/>
      <c r="AD167" s="6">
        <v>0</v>
      </c>
      <c r="AE167" s="6"/>
      <c r="AF167" s="6">
        <f t="shared" si="5"/>
        <v>650017.84</v>
      </c>
      <c r="AG167" s="47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4"/>
    </row>
    <row r="168" spans="1:64">
      <c r="A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7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4"/>
    </row>
    <row r="169" spans="1:64">
      <c r="A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3" t="s">
        <v>580</v>
      </c>
      <c r="AG169" s="47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4"/>
    </row>
    <row r="170" spans="1:64">
      <c r="B170" s="3" t="s">
        <v>517</v>
      </c>
    </row>
    <row r="171" spans="1:64">
      <c r="B171" s="3" t="s">
        <v>626</v>
      </c>
    </row>
    <row r="172" spans="1:64">
      <c r="B172" s="41" t="s">
        <v>5</v>
      </c>
    </row>
    <row r="173" spans="1:64" s="36" customFormat="1">
      <c r="H173" s="36" t="s">
        <v>6</v>
      </c>
    </row>
    <row r="174" spans="1:64" s="36" customFormat="1">
      <c r="F174" s="36" t="s">
        <v>319</v>
      </c>
      <c r="H174" s="36" t="s">
        <v>548</v>
      </c>
      <c r="J174" s="36" t="s">
        <v>628</v>
      </c>
      <c r="L174" s="36" t="s">
        <v>547</v>
      </c>
      <c r="X174" s="36" t="s">
        <v>326</v>
      </c>
      <c r="AD174" s="36" t="s">
        <v>0</v>
      </c>
    </row>
    <row r="175" spans="1:64" s="36" customFormat="1">
      <c r="F175" s="36" t="s">
        <v>320</v>
      </c>
      <c r="H175" s="36" t="s">
        <v>321</v>
      </c>
      <c r="J175" s="36" t="s">
        <v>629</v>
      </c>
      <c r="L175" s="36" t="s">
        <v>545</v>
      </c>
      <c r="N175" s="36" t="s">
        <v>631</v>
      </c>
      <c r="T175" s="36" t="s">
        <v>28</v>
      </c>
      <c r="V175" s="36" t="s">
        <v>324</v>
      </c>
      <c r="X175" s="36" t="s">
        <v>327</v>
      </c>
      <c r="AD175" s="36" t="s">
        <v>294</v>
      </c>
    </row>
    <row r="176" spans="1:64" s="36" customFormat="1" ht="12" customHeight="1">
      <c r="A176" s="36" t="s">
        <v>567</v>
      </c>
      <c r="B176" s="37" t="s">
        <v>6</v>
      </c>
      <c r="D176" s="37" t="s">
        <v>4</v>
      </c>
      <c r="F176" s="37" t="s">
        <v>27</v>
      </c>
      <c r="H176" s="37" t="s">
        <v>322</v>
      </c>
      <c r="I176" s="44"/>
      <c r="J176" s="45" t="s">
        <v>630</v>
      </c>
      <c r="L176" s="37" t="s">
        <v>546</v>
      </c>
      <c r="M176" s="44"/>
      <c r="N176" s="37" t="s">
        <v>632</v>
      </c>
      <c r="P176" s="37" t="s">
        <v>2</v>
      </c>
      <c r="R176" s="37" t="s">
        <v>0</v>
      </c>
      <c r="T176" s="37" t="s">
        <v>323</v>
      </c>
      <c r="V176" s="37" t="s">
        <v>325</v>
      </c>
      <c r="X176" s="37" t="s">
        <v>328</v>
      </c>
      <c r="Z176" s="37" t="s">
        <v>499</v>
      </c>
      <c r="AB176" s="37" t="s">
        <v>500</v>
      </c>
      <c r="AD176" s="37" t="s">
        <v>329</v>
      </c>
      <c r="AF176" s="45" t="s">
        <v>26</v>
      </c>
    </row>
    <row r="177" spans="1:64" s="7" customFormat="1">
      <c r="A177" s="7">
        <v>237</v>
      </c>
      <c r="B177" s="7" t="s">
        <v>190</v>
      </c>
      <c r="D177" s="7" t="s">
        <v>191</v>
      </c>
      <c r="F177" s="7">
        <v>132986</v>
      </c>
      <c r="H177" s="7">
        <f>284332+220726+772382</f>
        <v>1277440</v>
      </c>
      <c r="J177" s="7">
        <v>0</v>
      </c>
      <c r="L177" s="7">
        <v>0</v>
      </c>
      <c r="N177" s="7">
        <v>0</v>
      </c>
      <c r="P177" s="7">
        <v>18578</v>
      </c>
      <c r="R177" s="7">
        <v>93036</v>
      </c>
      <c r="T177" s="7">
        <v>24663</v>
      </c>
      <c r="V177" s="7">
        <v>0</v>
      </c>
      <c r="X177" s="7">
        <v>0</v>
      </c>
      <c r="Z177" s="7">
        <v>0</v>
      </c>
      <c r="AB177" s="7">
        <v>0</v>
      </c>
      <c r="AD177" s="7">
        <v>0</v>
      </c>
      <c r="AF177" s="7">
        <f t="shared" ref="AF177:AF208" si="6">SUM(F177:AD177)</f>
        <v>1546703</v>
      </c>
      <c r="AG177" s="46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</row>
    <row r="178" spans="1:64">
      <c r="A178" s="4">
        <v>243</v>
      </c>
      <c r="B178" s="35" t="s">
        <v>192</v>
      </c>
      <c r="C178" s="35"/>
      <c r="D178" s="35" t="s">
        <v>495</v>
      </c>
      <c r="E178" s="35"/>
      <c r="F178" s="6">
        <v>0</v>
      </c>
      <c r="G178" s="6"/>
      <c r="H178" s="6">
        <v>1305205.07</v>
      </c>
      <c r="I178" s="6"/>
      <c r="J178" s="6">
        <v>0</v>
      </c>
      <c r="K178" s="6"/>
      <c r="L178" s="6">
        <v>0</v>
      </c>
      <c r="M178" s="6"/>
      <c r="N178" s="6">
        <v>0</v>
      </c>
      <c r="O178" s="6"/>
      <c r="P178" s="6">
        <v>0</v>
      </c>
      <c r="Q178" s="6"/>
      <c r="R178" s="6">
        <v>0</v>
      </c>
      <c r="S178" s="6"/>
      <c r="T178" s="6">
        <v>67189.429999999993</v>
      </c>
      <c r="U178" s="6"/>
      <c r="V178" s="6">
        <v>0</v>
      </c>
      <c r="W178" s="6"/>
      <c r="X178" s="6">
        <v>0</v>
      </c>
      <c r="Y178" s="6"/>
      <c r="Z178" s="6">
        <v>0</v>
      </c>
      <c r="AA178" s="6"/>
      <c r="AB178" s="6">
        <v>0</v>
      </c>
      <c r="AC178" s="6"/>
      <c r="AD178" s="6">
        <v>0</v>
      </c>
      <c r="AE178" s="6"/>
      <c r="AF178" s="73">
        <f t="shared" si="6"/>
        <v>1372394.5</v>
      </c>
    </row>
    <row r="179" spans="1:64">
      <c r="A179" s="4">
        <v>211</v>
      </c>
      <c r="B179" s="3" t="s">
        <v>193</v>
      </c>
      <c r="D179" s="3" t="s">
        <v>23</v>
      </c>
      <c r="F179" s="4">
        <v>85419</v>
      </c>
      <c r="G179" s="4"/>
      <c r="H179" s="4">
        <v>1827480</v>
      </c>
      <c r="I179" s="4"/>
      <c r="J179" s="4">
        <v>24497</v>
      </c>
      <c r="K179" s="4"/>
      <c r="L179" s="4">
        <v>119806</v>
      </c>
      <c r="M179" s="4"/>
      <c r="N179" s="4">
        <v>211007</v>
      </c>
      <c r="O179" s="4"/>
      <c r="P179" s="4">
        <v>0</v>
      </c>
      <c r="Q179" s="4"/>
      <c r="R179" s="4">
        <v>0</v>
      </c>
      <c r="S179" s="4"/>
      <c r="T179" s="4">
        <v>141820</v>
      </c>
      <c r="U179" s="4"/>
      <c r="V179" s="4">
        <v>0</v>
      </c>
      <c r="W179" s="4"/>
      <c r="X179" s="4">
        <v>0</v>
      </c>
      <c r="Y179" s="4"/>
      <c r="Z179" s="4">
        <v>26000</v>
      </c>
      <c r="AA179" s="4"/>
      <c r="AB179" s="4">
        <v>0</v>
      </c>
      <c r="AC179" s="4"/>
      <c r="AD179" s="4">
        <v>0</v>
      </c>
      <c r="AE179" s="4"/>
      <c r="AF179" s="77">
        <f t="shared" si="6"/>
        <v>2436029</v>
      </c>
    </row>
    <row r="180" spans="1:64">
      <c r="A180" s="4">
        <v>94</v>
      </c>
      <c r="B180" s="3" t="s">
        <v>336</v>
      </c>
      <c r="D180" s="3" t="s">
        <v>137</v>
      </c>
      <c r="F180" s="6">
        <v>0</v>
      </c>
      <c r="G180" s="6"/>
      <c r="H180" s="6">
        <v>268749.65999999997</v>
      </c>
      <c r="I180" s="6"/>
      <c r="J180" s="6">
        <v>0</v>
      </c>
      <c r="K180" s="6"/>
      <c r="L180" s="6">
        <v>0</v>
      </c>
      <c r="M180" s="6"/>
      <c r="N180" s="6">
        <v>0</v>
      </c>
      <c r="O180" s="6"/>
      <c r="P180" s="6">
        <v>0</v>
      </c>
      <c r="Q180" s="6"/>
      <c r="R180" s="6">
        <v>0</v>
      </c>
      <c r="S180" s="6"/>
      <c r="T180" s="6">
        <v>3846.76</v>
      </c>
      <c r="U180" s="6"/>
      <c r="V180" s="6">
        <v>0</v>
      </c>
      <c r="W180" s="6"/>
      <c r="X180" s="6">
        <v>0</v>
      </c>
      <c r="Y180" s="6"/>
      <c r="Z180" s="6">
        <v>0</v>
      </c>
      <c r="AA180" s="6"/>
      <c r="AB180" s="6">
        <v>0</v>
      </c>
      <c r="AC180" s="6"/>
      <c r="AD180" s="6">
        <v>0</v>
      </c>
      <c r="AE180" s="6"/>
      <c r="AF180" s="73">
        <f t="shared" si="6"/>
        <v>272596.42</v>
      </c>
    </row>
    <row r="181" spans="1:64">
      <c r="A181" s="4">
        <v>227</v>
      </c>
      <c r="B181" s="7" t="s">
        <v>433</v>
      </c>
      <c r="C181" s="7"/>
      <c r="D181" s="7" t="s">
        <v>54</v>
      </c>
      <c r="E181" s="7"/>
      <c r="F181" s="4">
        <v>0</v>
      </c>
      <c r="G181" s="4"/>
      <c r="H181" s="4">
        <v>941351</v>
      </c>
      <c r="I181" s="4"/>
      <c r="J181" s="4">
        <v>0</v>
      </c>
      <c r="K181" s="4"/>
      <c r="L181" s="4">
        <v>0</v>
      </c>
      <c r="M181" s="4"/>
      <c r="N181" s="4">
        <v>0</v>
      </c>
      <c r="O181" s="4"/>
      <c r="P181" s="4">
        <v>0</v>
      </c>
      <c r="Q181" s="4"/>
      <c r="R181" s="4">
        <v>0</v>
      </c>
      <c r="S181" s="4"/>
      <c r="T181" s="4">
        <v>55003</v>
      </c>
      <c r="U181" s="4"/>
      <c r="V181" s="4">
        <v>0</v>
      </c>
      <c r="W181" s="4"/>
      <c r="X181" s="4">
        <v>0</v>
      </c>
      <c r="Y181" s="4"/>
      <c r="Z181" s="4">
        <v>176941</v>
      </c>
      <c r="AA181" s="4"/>
      <c r="AB181" s="4">
        <v>0</v>
      </c>
      <c r="AC181" s="4"/>
      <c r="AD181" s="4">
        <v>0</v>
      </c>
      <c r="AE181" s="4"/>
      <c r="AF181" s="77">
        <f t="shared" si="6"/>
        <v>1173295</v>
      </c>
    </row>
    <row r="182" spans="1:64">
      <c r="A182" s="4">
        <v>29</v>
      </c>
      <c r="B182" s="35" t="s">
        <v>194</v>
      </c>
      <c r="C182" s="35"/>
      <c r="D182" s="35" t="s">
        <v>471</v>
      </c>
      <c r="E182" s="35"/>
      <c r="F182" s="6">
        <v>0</v>
      </c>
      <c r="G182" s="6"/>
      <c r="H182" s="6">
        <v>250545.04</v>
      </c>
      <c r="I182" s="6"/>
      <c r="J182" s="6">
        <v>0</v>
      </c>
      <c r="K182" s="6"/>
      <c r="L182" s="6">
        <v>0</v>
      </c>
      <c r="M182" s="6"/>
      <c r="N182" s="6">
        <v>0</v>
      </c>
      <c r="O182" s="6"/>
      <c r="P182" s="6">
        <v>0</v>
      </c>
      <c r="Q182" s="6"/>
      <c r="R182" s="6">
        <v>0</v>
      </c>
      <c r="S182" s="6"/>
      <c r="T182" s="6">
        <v>29173</v>
      </c>
      <c r="U182" s="6"/>
      <c r="V182" s="6">
        <v>0</v>
      </c>
      <c r="W182" s="6"/>
      <c r="X182" s="6">
        <v>0</v>
      </c>
      <c r="Y182" s="6"/>
      <c r="Z182" s="6">
        <v>0</v>
      </c>
      <c r="AA182" s="6"/>
      <c r="AB182" s="6">
        <v>0</v>
      </c>
      <c r="AC182" s="6"/>
      <c r="AD182" s="6">
        <v>503.35</v>
      </c>
      <c r="AE182" s="6"/>
      <c r="AF182" s="73">
        <f t="shared" si="6"/>
        <v>280221.39</v>
      </c>
      <c r="AI182" s="4"/>
    </row>
    <row r="183" spans="1:64">
      <c r="A183" s="4">
        <v>156</v>
      </c>
      <c r="B183" s="3" t="s">
        <v>591</v>
      </c>
      <c r="D183" s="3" t="s">
        <v>18</v>
      </c>
      <c r="F183" s="4">
        <v>127338</v>
      </c>
      <c r="G183" s="4"/>
      <c r="H183" s="4">
        <v>4943857</v>
      </c>
      <c r="I183" s="4"/>
      <c r="J183" s="4">
        <v>888147</v>
      </c>
      <c r="K183" s="4"/>
      <c r="L183" s="4">
        <v>722812</v>
      </c>
      <c r="M183" s="4"/>
      <c r="N183" s="4">
        <v>453839</v>
      </c>
      <c r="O183" s="4"/>
      <c r="P183" s="4">
        <v>0</v>
      </c>
      <c r="Q183" s="4"/>
      <c r="R183" s="4">
        <v>0</v>
      </c>
      <c r="S183" s="4"/>
      <c r="T183" s="4">
        <v>0</v>
      </c>
      <c r="U183" s="4"/>
      <c r="V183" s="4">
        <v>0</v>
      </c>
      <c r="W183" s="4"/>
      <c r="X183" s="4">
        <v>0</v>
      </c>
      <c r="Y183" s="4"/>
      <c r="Z183" s="4">
        <v>0</v>
      </c>
      <c r="AA183" s="4"/>
      <c r="AB183" s="4">
        <v>0</v>
      </c>
      <c r="AC183" s="4"/>
      <c r="AD183" s="4">
        <v>0</v>
      </c>
      <c r="AE183" s="4"/>
      <c r="AF183" s="77">
        <f t="shared" si="6"/>
        <v>7135993</v>
      </c>
      <c r="AG183" s="47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4"/>
    </row>
    <row r="184" spans="1:64">
      <c r="A184" s="4">
        <v>157</v>
      </c>
      <c r="B184" s="35" t="s">
        <v>483</v>
      </c>
      <c r="C184" s="35"/>
      <c r="D184" s="35" t="s">
        <v>484</v>
      </c>
      <c r="E184" s="35"/>
      <c r="F184" s="76">
        <v>0</v>
      </c>
      <c r="G184" s="76"/>
      <c r="H184" s="76">
        <v>655116</v>
      </c>
      <c r="I184" s="76"/>
      <c r="J184" s="76">
        <v>0</v>
      </c>
      <c r="K184" s="76"/>
      <c r="L184" s="76">
        <v>0</v>
      </c>
      <c r="M184" s="76"/>
      <c r="N184" s="76">
        <v>0</v>
      </c>
      <c r="O184" s="76"/>
      <c r="P184" s="76">
        <v>0</v>
      </c>
      <c r="Q184" s="76"/>
      <c r="R184" s="76">
        <v>0</v>
      </c>
      <c r="S184" s="76"/>
      <c r="T184" s="76">
        <v>9093.17</v>
      </c>
      <c r="U184" s="76"/>
      <c r="V184" s="76">
        <v>0</v>
      </c>
      <c r="W184" s="76"/>
      <c r="X184" s="76">
        <v>0</v>
      </c>
      <c r="Y184" s="76"/>
      <c r="Z184" s="76">
        <v>0</v>
      </c>
      <c r="AA184" s="76"/>
      <c r="AB184" s="76">
        <v>0</v>
      </c>
      <c r="AC184" s="76"/>
      <c r="AD184" s="76">
        <v>0</v>
      </c>
      <c r="AE184" s="76"/>
      <c r="AF184" s="73">
        <f t="shared" si="6"/>
        <v>664209.17000000004</v>
      </c>
      <c r="AI184" s="4"/>
    </row>
    <row r="185" spans="1:64">
      <c r="A185" s="4">
        <v>126</v>
      </c>
      <c r="B185" s="35" t="s">
        <v>12</v>
      </c>
      <c r="C185" s="35"/>
      <c r="D185" s="35" t="s">
        <v>13</v>
      </c>
      <c r="E185" s="35"/>
      <c r="F185" s="4">
        <v>0</v>
      </c>
      <c r="G185" s="4"/>
      <c r="H185" s="4">
        <v>3129234</v>
      </c>
      <c r="I185" s="4"/>
      <c r="J185" s="4">
        <v>0</v>
      </c>
      <c r="K185" s="4"/>
      <c r="L185" s="4">
        <v>0</v>
      </c>
      <c r="M185" s="4"/>
      <c r="N185" s="4">
        <v>0</v>
      </c>
      <c r="O185" s="4"/>
      <c r="P185" s="4">
        <v>0</v>
      </c>
      <c r="Q185" s="4"/>
      <c r="R185" s="4">
        <v>0</v>
      </c>
      <c r="S185" s="4"/>
      <c r="T185" s="4">
        <v>0</v>
      </c>
      <c r="U185" s="4"/>
      <c r="V185" s="4">
        <v>0</v>
      </c>
      <c r="W185" s="4"/>
      <c r="X185" s="4">
        <v>0</v>
      </c>
      <c r="Y185" s="4"/>
      <c r="Z185" s="4">
        <v>526100</v>
      </c>
      <c r="AA185" s="4"/>
      <c r="AB185" s="4">
        <v>0</v>
      </c>
      <c r="AC185" s="4"/>
      <c r="AD185" s="4">
        <v>0</v>
      </c>
      <c r="AE185" s="35"/>
      <c r="AF185" s="77">
        <f t="shared" si="6"/>
        <v>3655334</v>
      </c>
      <c r="AI185" s="4"/>
    </row>
    <row r="186" spans="1:64">
      <c r="A186" s="4">
        <v>160</v>
      </c>
      <c r="B186" s="35" t="s">
        <v>592</v>
      </c>
      <c r="C186" s="35"/>
      <c r="D186" s="35" t="s">
        <v>486</v>
      </c>
      <c r="E186" s="35"/>
      <c r="F186" s="6">
        <v>0</v>
      </c>
      <c r="G186" s="6"/>
      <c r="H186" s="6">
        <v>965259.13</v>
      </c>
      <c r="I186" s="6"/>
      <c r="J186" s="6">
        <v>0</v>
      </c>
      <c r="K186" s="6"/>
      <c r="L186" s="6">
        <v>0</v>
      </c>
      <c r="M186" s="6"/>
      <c r="N186" s="6">
        <v>0</v>
      </c>
      <c r="O186" s="6"/>
      <c r="P186" s="6">
        <v>0</v>
      </c>
      <c r="Q186" s="6"/>
      <c r="R186" s="6">
        <v>0</v>
      </c>
      <c r="S186" s="6"/>
      <c r="T186" s="6">
        <v>0</v>
      </c>
      <c r="U186" s="6"/>
      <c r="V186" s="6">
        <v>0</v>
      </c>
      <c r="W186" s="6"/>
      <c r="X186" s="6">
        <v>0</v>
      </c>
      <c r="Y186" s="6"/>
      <c r="Z186" s="6">
        <v>66223.41</v>
      </c>
      <c r="AA186" s="6"/>
      <c r="AB186" s="6">
        <v>0</v>
      </c>
      <c r="AC186" s="6"/>
      <c r="AD186" s="6">
        <v>0</v>
      </c>
      <c r="AE186" s="6"/>
      <c r="AF186" s="73">
        <f t="shared" si="6"/>
        <v>1031482.54</v>
      </c>
    </row>
    <row r="187" spans="1:64">
      <c r="A187" s="4">
        <v>26</v>
      </c>
      <c r="B187" s="3" t="s">
        <v>195</v>
      </c>
      <c r="D187" s="3" t="s">
        <v>8</v>
      </c>
      <c r="F187" s="4">
        <v>153092</v>
      </c>
      <c r="G187" s="4"/>
      <c r="H187" s="4">
        <v>2097580</v>
      </c>
      <c r="I187" s="4"/>
      <c r="J187" s="4">
        <v>1260227</v>
      </c>
      <c r="K187" s="4"/>
      <c r="L187" s="4">
        <v>786733</v>
      </c>
      <c r="M187" s="4"/>
      <c r="N187" s="4">
        <v>744774</v>
      </c>
      <c r="O187" s="4"/>
      <c r="P187" s="4">
        <v>0</v>
      </c>
      <c r="Q187" s="4"/>
      <c r="R187" s="4">
        <v>0</v>
      </c>
      <c r="S187" s="4"/>
      <c r="T187" s="4">
        <v>98153</v>
      </c>
      <c r="U187" s="4"/>
      <c r="V187" s="4">
        <v>0</v>
      </c>
      <c r="W187" s="4"/>
      <c r="X187" s="4">
        <v>0</v>
      </c>
      <c r="Y187" s="4"/>
      <c r="Z187" s="4">
        <v>250000</v>
      </c>
      <c r="AA187" s="4"/>
      <c r="AB187" s="4">
        <v>0</v>
      </c>
      <c r="AC187" s="4"/>
      <c r="AD187" s="4">
        <v>0</v>
      </c>
      <c r="AE187" s="4"/>
      <c r="AF187" s="77">
        <f t="shared" si="6"/>
        <v>5390559</v>
      </c>
      <c r="AG187" s="47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4"/>
    </row>
    <row r="188" spans="1:64">
      <c r="A188" s="4">
        <v>67</v>
      </c>
      <c r="B188" s="3" t="s">
        <v>196</v>
      </c>
      <c r="D188" s="3" t="s">
        <v>165</v>
      </c>
      <c r="F188" s="6">
        <v>0</v>
      </c>
      <c r="G188" s="6"/>
      <c r="H188" s="6">
        <v>774760.79</v>
      </c>
      <c r="I188" s="6"/>
      <c r="J188" s="6">
        <v>0</v>
      </c>
      <c r="K188" s="6"/>
      <c r="L188" s="6">
        <v>0</v>
      </c>
      <c r="M188" s="6"/>
      <c r="N188" s="6">
        <v>0</v>
      </c>
      <c r="O188" s="6"/>
      <c r="P188" s="6">
        <v>0</v>
      </c>
      <c r="Q188" s="6"/>
      <c r="R188" s="6">
        <v>0</v>
      </c>
      <c r="S188" s="6"/>
      <c r="T188" s="6">
        <v>0</v>
      </c>
      <c r="U188" s="6"/>
      <c r="V188" s="6">
        <v>0</v>
      </c>
      <c r="W188" s="6"/>
      <c r="X188" s="6">
        <v>0</v>
      </c>
      <c r="Y188" s="6"/>
      <c r="Z188" s="6">
        <v>0</v>
      </c>
      <c r="AA188" s="6"/>
      <c r="AB188" s="6">
        <v>0</v>
      </c>
      <c r="AC188" s="6"/>
      <c r="AD188" s="6">
        <v>0</v>
      </c>
      <c r="AE188" s="6"/>
      <c r="AF188" s="73">
        <f t="shared" si="6"/>
        <v>774760.79</v>
      </c>
    </row>
    <row r="189" spans="1:64">
      <c r="A189" s="4">
        <v>165</v>
      </c>
      <c r="B189" s="35" t="s">
        <v>197</v>
      </c>
      <c r="C189" s="35"/>
      <c r="D189" s="35" t="s">
        <v>487</v>
      </c>
      <c r="E189" s="35"/>
      <c r="F189" s="6">
        <v>0</v>
      </c>
      <c r="G189" s="6"/>
      <c r="H189" s="6">
        <v>423441</v>
      </c>
      <c r="I189" s="6"/>
      <c r="J189" s="6">
        <v>0</v>
      </c>
      <c r="K189" s="6"/>
      <c r="L189" s="6">
        <v>0</v>
      </c>
      <c r="M189" s="6"/>
      <c r="N189" s="6">
        <v>0</v>
      </c>
      <c r="O189" s="6"/>
      <c r="P189" s="6">
        <v>0</v>
      </c>
      <c r="Q189" s="6"/>
      <c r="R189" s="6">
        <v>0</v>
      </c>
      <c r="S189" s="6"/>
      <c r="T189" s="6">
        <v>0</v>
      </c>
      <c r="U189" s="6"/>
      <c r="V189" s="6">
        <v>0</v>
      </c>
      <c r="W189" s="6"/>
      <c r="X189" s="6">
        <v>0</v>
      </c>
      <c r="Y189" s="6"/>
      <c r="Z189" s="6">
        <v>0</v>
      </c>
      <c r="AA189" s="6"/>
      <c r="AB189" s="6">
        <v>0</v>
      </c>
      <c r="AC189" s="6"/>
      <c r="AD189" s="6">
        <v>0</v>
      </c>
      <c r="AE189" s="6"/>
      <c r="AF189" s="73">
        <f t="shared" si="6"/>
        <v>423441</v>
      </c>
    </row>
    <row r="190" spans="1:64">
      <c r="A190" s="4">
        <v>212</v>
      </c>
      <c r="B190" s="35" t="s">
        <v>198</v>
      </c>
      <c r="C190" s="35"/>
      <c r="D190" s="35" t="s">
        <v>492</v>
      </c>
      <c r="E190" s="35"/>
      <c r="F190" s="76">
        <v>0</v>
      </c>
      <c r="G190" s="76"/>
      <c r="H190" s="76">
        <v>637835.88</v>
      </c>
      <c r="I190" s="76"/>
      <c r="J190" s="76">
        <v>0</v>
      </c>
      <c r="K190" s="76"/>
      <c r="L190" s="76">
        <v>0</v>
      </c>
      <c r="M190" s="76"/>
      <c r="N190" s="76">
        <v>0</v>
      </c>
      <c r="O190" s="76"/>
      <c r="P190" s="76">
        <v>0</v>
      </c>
      <c r="Q190" s="76"/>
      <c r="R190" s="76">
        <v>0</v>
      </c>
      <c r="S190" s="76"/>
      <c r="T190" s="76">
        <v>723.99</v>
      </c>
      <c r="U190" s="76"/>
      <c r="V190" s="76">
        <v>0</v>
      </c>
      <c r="W190" s="76"/>
      <c r="X190" s="76">
        <v>0</v>
      </c>
      <c r="Y190" s="76"/>
      <c r="Z190" s="76">
        <v>15000</v>
      </c>
      <c r="AA190" s="76"/>
      <c r="AB190" s="76">
        <v>0</v>
      </c>
      <c r="AC190" s="76"/>
      <c r="AD190" s="76">
        <v>0</v>
      </c>
      <c r="AE190" s="76"/>
      <c r="AF190" s="73">
        <f t="shared" si="6"/>
        <v>653559.87</v>
      </c>
      <c r="AG190" s="47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4"/>
    </row>
    <row r="191" spans="1:64">
      <c r="A191" s="4">
        <v>259</v>
      </c>
      <c r="B191" s="3" t="s">
        <v>307</v>
      </c>
      <c r="D191" s="3" t="s">
        <v>61</v>
      </c>
      <c r="F191" s="6">
        <v>0</v>
      </c>
      <c r="G191" s="6"/>
      <c r="H191" s="6">
        <v>257409.53</v>
      </c>
      <c r="I191" s="6"/>
      <c r="J191" s="6">
        <v>0</v>
      </c>
      <c r="K191" s="6"/>
      <c r="L191" s="6">
        <v>0</v>
      </c>
      <c r="M191" s="6"/>
      <c r="N191" s="6">
        <v>0</v>
      </c>
      <c r="O191" s="6"/>
      <c r="P191" s="6">
        <v>0</v>
      </c>
      <c r="Q191" s="6"/>
      <c r="R191" s="6">
        <v>0</v>
      </c>
      <c r="S191" s="6"/>
      <c r="T191" s="6">
        <v>2603.1799999999998</v>
      </c>
      <c r="U191" s="6"/>
      <c r="V191" s="6">
        <v>0</v>
      </c>
      <c r="W191" s="6"/>
      <c r="X191" s="6">
        <v>0</v>
      </c>
      <c r="Y191" s="6"/>
      <c r="Z191" s="6">
        <v>0</v>
      </c>
      <c r="AA191" s="6"/>
      <c r="AB191" s="6">
        <v>0</v>
      </c>
      <c r="AC191" s="6"/>
      <c r="AD191" s="6">
        <v>0</v>
      </c>
      <c r="AE191" s="6"/>
      <c r="AF191" s="73">
        <f t="shared" si="6"/>
        <v>260012.71</v>
      </c>
      <c r="AG191" s="47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4"/>
    </row>
    <row r="192" spans="1:64">
      <c r="A192" s="4">
        <v>168</v>
      </c>
      <c r="B192" s="35" t="s">
        <v>488</v>
      </c>
      <c r="C192" s="35"/>
      <c r="D192" s="35" t="s">
        <v>489</v>
      </c>
      <c r="E192" s="35"/>
      <c r="F192" s="6">
        <v>0</v>
      </c>
      <c r="G192" s="6"/>
      <c r="H192" s="6">
        <v>444628.44</v>
      </c>
      <c r="I192" s="6"/>
      <c r="J192" s="6">
        <v>0</v>
      </c>
      <c r="K192" s="6"/>
      <c r="L192" s="6">
        <v>0</v>
      </c>
      <c r="M192" s="6"/>
      <c r="N192" s="6">
        <v>0</v>
      </c>
      <c r="O192" s="6"/>
      <c r="P192" s="6">
        <v>0</v>
      </c>
      <c r="Q192" s="6"/>
      <c r="R192" s="6">
        <v>0</v>
      </c>
      <c r="S192" s="6"/>
      <c r="T192" s="6">
        <v>90</v>
      </c>
      <c r="U192" s="6"/>
      <c r="V192" s="6">
        <v>0</v>
      </c>
      <c r="W192" s="6"/>
      <c r="X192" s="6">
        <v>0</v>
      </c>
      <c r="Y192" s="6"/>
      <c r="Z192" s="6">
        <v>0</v>
      </c>
      <c r="AA192" s="6"/>
      <c r="AB192" s="6">
        <v>0</v>
      </c>
      <c r="AC192" s="6"/>
      <c r="AD192" s="6">
        <v>0</v>
      </c>
      <c r="AE192" s="6"/>
      <c r="AF192" s="73">
        <f t="shared" si="6"/>
        <v>444718.44</v>
      </c>
      <c r="AI192" s="4"/>
    </row>
    <row r="193" spans="1:64">
      <c r="A193" s="4">
        <v>111</v>
      </c>
      <c r="B193" s="3" t="s">
        <v>200</v>
      </c>
      <c r="D193" s="3" t="s">
        <v>87</v>
      </c>
      <c r="F193" s="4">
        <v>998</v>
      </c>
      <c r="G193" s="4"/>
      <c r="H193" s="4">
        <v>120115</v>
      </c>
      <c r="I193" s="4"/>
      <c r="J193" s="4">
        <v>0</v>
      </c>
      <c r="K193" s="4"/>
      <c r="L193" s="4">
        <v>2487</v>
      </c>
      <c r="M193" s="4"/>
      <c r="N193" s="4">
        <v>0</v>
      </c>
      <c r="O193" s="4"/>
      <c r="P193" s="4">
        <v>0</v>
      </c>
      <c r="Q193" s="4"/>
      <c r="R193" s="4">
        <v>0</v>
      </c>
      <c r="S193" s="4"/>
      <c r="T193" s="4">
        <v>0</v>
      </c>
      <c r="U193" s="4"/>
      <c r="V193" s="4">
        <v>0</v>
      </c>
      <c r="W193" s="4"/>
      <c r="X193" s="4">
        <v>0</v>
      </c>
      <c r="Y193" s="4"/>
      <c r="Z193" s="4">
        <v>0</v>
      </c>
      <c r="AA193" s="4"/>
      <c r="AB193" s="4">
        <v>0</v>
      </c>
      <c r="AC193" s="4"/>
      <c r="AD193" s="4">
        <v>0</v>
      </c>
      <c r="AE193" s="4"/>
      <c r="AF193" s="77">
        <f t="shared" si="6"/>
        <v>123600</v>
      </c>
    </row>
    <row r="194" spans="1:64">
      <c r="A194" s="4">
        <v>248</v>
      </c>
      <c r="B194" s="3" t="s">
        <v>201</v>
      </c>
      <c r="D194" s="3" t="s">
        <v>202</v>
      </c>
      <c r="F194" s="4">
        <v>0</v>
      </c>
      <c r="G194" s="4"/>
      <c r="H194" s="4">
        <v>2923</v>
      </c>
      <c r="I194" s="4"/>
      <c r="J194" s="4">
        <v>27298</v>
      </c>
      <c r="K194" s="4"/>
      <c r="L194" s="4">
        <v>39414</v>
      </c>
      <c r="M194" s="4"/>
      <c r="N194" s="4">
        <v>112905</v>
      </c>
      <c r="O194" s="4"/>
      <c r="P194" s="4">
        <v>0</v>
      </c>
      <c r="Q194" s="4"/>
      <c r="R194" s="4">
        <v>0</v>
      </c>
      <c r="S194" s="4"/>
      <c r="T194" s="4">
        <v>7150</v>
      </c>
      <c r="U194" s="4"/>
      <c r="V194" s="4">
        <v>0</v>
      </c>
      <c r="W194" s="4"/>
      <c r="X194" s="4">
        <v>0</v>
      </c>
      <c r="Y194" s="4"/>
      <c r="Z194" s="4">
        <v>0</v>
      </c>
      <c r="AA194" s="4"/>
      <c r="AB194" s="4">
        <v>0</v>
      </c>
      <c r="AC194" s="4"/>
      <c r="AD194" s="4">
        <v>0</v>
      </c>
      <c r="AE194" s="4"/>
      <c r="AF194" s="77">
        <f t="shared" si="6"/>
        <v>189690</v>
      </c>
    </row>
    <row r="195" spans="1:64">
      <c r="A195" s="4">
        <v>127</v>
      </c>
      <c r="B195" s="3" t="s">
        <v>203</v>
      </c>
      <c r="D195" s="3" t="s">
        <v>13</v>
      </c>
      <c r="F195" s="4">
        <v>0</v>
      </c>
      <c r="G195" s="4"/>
      <c r="H195" s="4">
        <v>2470336</v>
      </c>
      <c r="I195" s="4"/>
      <c r="J195" s="4">
        <v>0</v>
      </c>
      <c r="K195" s="4"/>
      <c r="L195" s="4">
        <v>0</v>
      </c>
      <c r="M195" s="4"/>
      <c r="N195" s="4">
        <v>0</v>
      </c>
      <c r="O195" s="4"/>
      <c r="P195" s="4">
        <v>0</v>
      </c>
      <c r="Q195" s="4"/>
      <c r="R195" s="4">
        <v>0</v>
      </c>
      <c r="S195" s="4"/>
      <c r="T195" s="4">
        <v>16437</v>
      </c>
      <c r="U195" s="4"/>
      <c r="V195" s="4">
        <v>0</v>
      </c>
      <c r="W195" s="4"/>
      <c r="X195" s="4">
        <v>0</v>
      </c>
      <c r="Y195" s="4"/>
      <c r="Z195" s="4">
        <v>0</v>
      </c>
      <c r="AA195" s="4"/>
      <c r="AB195" s="4">
        <v>0</v>
      </c>
      <c r="AC195" s="4"/>
      <c r="AD195" s="4">
        <v>0</v>
      </c>
      <c r="AE195" s="4"/>
      <c r="AF195" s="77">
        <f t="shared" si="6"/>
        <v>2486773</v>
      </c>
      <c r="AG195" s="49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8"/>
    </row>
    <row r="196" spans="1:64">
      <c r="A196" s="4">
        <v>175</v>
      </c>
      <c r="B196" s="3" t="s">
        <v>204</v>
      </c>
      <c r="D196" s="3" t="s">
        <v>66</v>
      </c>
      <c r="F196" s="6">
        <v>69351</v>
      </c>
      <c r="G196" s="6"/>
      <c r="H196" s="6">
        <v>192046.93</v>
      </c>
      <c r="I196" s="6"/>
      <c r="J196" s="6">
        <v>0</v>
      </c>
      <c r="K196" s="6"/>
      <c r="L196" s="6">
        <v>0</v>
      </c>
      <c r="M196" s="6"/>
      <c r="N196" s="6">
        <v>0</v>
      </c>
      <c r="O196" s="6"/>
      <c r="P196" s="6">
        <v>0</v>
      </c>
      <c r="Q196" s="6"/>
      <c r="R196" s="6">
        <v>0</v>
      </c>
      <c r="S196" s="6"/>
      <c r="T196" s="6">
        <v>0</v>
      </c>
      <c r="U196" s="6"/>
      <c r="V196" s="6">
        <v>0</v>
      </c>
      <c r="W196" s="6"/>
      <c r="X196" s="6">
        <v>0</v>
      </c>
      <c r="Y196" s="6"/>
      <c r="Z196" s="6">
        <v>0</v>
      </c>
      <c r="AA196" s="6"/>
      <c r="AB196" s="6">
        <v>0</v>
      </c>
      <c r="AC196" s="6"/>
      <c r="AD196" s="6">
        <v>0</v>
      </c>
      <c r="AE196" s="6"/>
      <c r="AF196" s="73">
        <f t="shared" si="6"/>
        <v>261397.93</v>
      </c>
    </row>
    <row r="197" spans="1:64">
      <c r="A197" s="4">
        <v>150</v>
      </c>
      <c r="B197" s="35" t="s">
        <v>205</v>
      </c>
      <c r="C197" s="35"/>
      <c r="D197" s="35" t="s">
        <v>482</v>
      </c>
      <c r="E197" s="35"/>
      <c r="F197" s="6">
        <v>0</v>
      </c>
      <c r="G197" s="6"/>
      <c r="H197" s="6">
        <v>212148.54</v>
      </c>
      <c r="I197" s="6"/>
      <c r="J197" s="6">
        <v>0</v>
      </c>
      <c r="K197" s="6"/>
      <c r="L197" s="6">
        <v>3780</v>
      </c>
      <c r="M197" s="6"/>
      <c r="N197" s="6">
        <v>0</v>
      </c>
      <c r="O197" s="6"/>
      <c r="P197" s="6">
        <v>0</v>
      </c>
      <c r="Q197" s="6"/>
      <c r="R197" s="6">
        <v>0</v>
      </c>
      <c r="S197" s="6"/>
      <c r="T197" s="6">
        <v>0</v>
      </c>
      <c r="U197" s="6"/>
      <c r="V197" s="6">
        <v>0</v>
      </c>
      <c r="W197" s="6"/>
      <c r="X197" s="6">
        <v>0</v>
      </c>
      <c r="Y197" s="6"/>
      <c r="Z197" s="6">
        <v>0</v>
      </c>
      <c r="AA197" s="6"/>
      <c r="AB197" s="6">
        <v>0</v>
      </c>
      <c r="AC197" s="6"/>
      <c r="AD197" s="6">
        <v>0</v>
      </c>
      <c r="AE197" s="6"/>
      <c r="AF197" s="73">
        <f t="shared" si="6"/>
        <v>215928.54</v>
      </c>
      <c r="AG197" s="47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4"/>
    </row>
    <row r="198" spans="1:64">
      <c r="A198" s="4">
        <v>122</v>
      </c>
      <c r="B198" s="3" t="s">
        <v>425</v>
      </c>
      <c r="D198" s="3" t="s">
        <v>14</v>
      </c>
      <c r="F198" s="4">
        <v>210489</v>
      </c>
      <c r="G198" s="4"/>
      <c r="H198" s="4">
        <f>370581+1278097+343064</f>
        <v>1991742</v>
      </c>
      <c r="I198" s="4"/>
      <c r="J198" s="4">
        <v>0</v>
      </c>
      <c r="K198" s="4"/>
      <c r="L198" s="4">
        <v>0</v>
      </c>
      <c r="M198" s="4"/>
      <c r="N198" s="4">
        <v>0</v>
      </c>
      <c r="O198" s="4"/>
      <c r="P198" s="4">
        <v>75121</v>
      </c>
      <c r="Q198" s="4"/>
      <c r="R198" s="4">
        <v>4941</v>
      </c>
      <c r="S198" s="4"/>
      <c r="T198" s="4">
        <v>49735</v>
      </c>
      <c r="U198" s="4"/>
      <c r="V198" s="4">
        <v>0</v>
      </c>
      <c r="W198" s="4"/>
      <c r="X198" s="4">
        <v>0</v>
      </c>
      <c r="Y198" s="4"/>
      <c r="Z198" s="4">
        <v>310400</v>
      </c>
      <c r="AA198" s="4"/>
      <c r="AB198" s="4">
        <v>0</v>
      </c>
      <c r="AC198" s="4"/>
      <c r="AD198" s="4">
        <v>0</v>
      </c>
      <c r="AE198" s="4"/>
      <c r="AF198" s="77">
        <f t="shared" si="6"/>
        <v>2642428</v>
      </c>
    </row>
    <row r="199" spans="1:64">
      <c r="A199" s="4">
        <v>178</v>
      </c>
      <c r="B199" s="3" t="s">
        <v>593</v>
      </c>
      <c r="D199" s="3" t="s">
        <v>207</v>
      </c>
      <c r="F199" s="4">
        <v>86546</v>
      </c>
      <c r="G199" s="4"/>
      <c r="H199" s="4">
        <v>1345893</v>
      </c>
      <c r="I199" s="4"/>
      <c r="J199" s="4">
        <v>701993</v>
      </c>
      <c r="K199" s="4"/>
      <c r="L199" s="4">
        <v>403974</v>
      </c>
      <c r="M199" s="4"/>
      <c r="N199" s="4">
        <v>778406</v>
      </c>
      <c r="O199" s="4"/>
      <c r="P199" s="4">
        <v>0</v>
      </c>
      <c r="Q199" s="4"/>
      <c r="R199" s="4">
        <v>0</v>
      </c>
      <c r="S199" s="4"/>
      <c r="T199" s="4">
        <v>147325</v>
      </c>
      <c r="U199" s="4"/>
      <c r="V199" s="4">
        <v>0</v>
      </c>
      <c r="W199" s="4"/>
      <c r="X199" s="4">
        <v>0</v>
      </c>
      <c r="Y199" s="4"/>
      <c r="Z199" s="4">
        <v>1675</v>
      </c>
      <c r="AA199" s="4"/>
      <c r="AB199" s="4">
        <v>0</v>
      </c>
      <c r="AC199" s="4"/>
      <c r="AD199" s="4">
        <v>0</v>
      </c>
      <c r="AE199" s="4"/>
      <c r="AF199" s="77">
        <f t="shared" si="6"/>
        <v>3465812</v>
      </c>
      <c r="AG199" s="47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4"/>
    </row>
    <row r="200" spans="1:64">
      <c r="A200" s="4">
        <v>105</v>
      </c>
      <c r="B200" s="3" t="s">
        <v>308</v>
      </c>
      <c r="D200" s="3" t="s">
        <v>58</v>
      </c>
      <c r="F200" s="6">
        <v>197599.62</v>
      </c>
      <c r="G200" s="6"/>
      <c r="H200" s="6">
        <v>212513.49</v>
      </c>
      <c r="I200" s="6"/>
      <c r="J200" s="6">
        <v>0</v>
      </c>
      <c r="K200" s="6"/>
      <c r="L200" s="6">
        <v>71569.55</v>
      </c>
      <c r="M200" s="6"/>
      <c r="N200" s="6">
        <v>74843.070000000007</v>
      </c>
      <c r="O200" s="6"/>
      <c r="P200" s="6">
        <v>0</v>
      </c>
      <c r="Q200" s="6"/>
      <c r="R200" s="6">
        <v>0</v>
      </c>
      <c r="S200" s="6"/>
      <c r="T200" s="6">
        <v>775.09</v>
      </c>
      <c r="U200" s="6"/>
      <c r="V200" s="6">
        <v>0</v>
      </c>
      <c r="W200" s="6"/>
      <c r="X200" s="6">
        <v>0</v>
      </c>
      <c r="Y200" s="6"/>
      <c r="Z200" s="6">
        <v>100000</v>
      </c>
      <c r="AA200" s="6"/>
      <c r="AB200" s="6">
        <v>0</v>
      </c>
      <c r="AC200" s="6"/>
      <c r="AD200" s="6">
        <v>243.19</v>
      </c>
      <c r="AE200" s="6"/>
      <c r="AF200" s="73">
        <f t="shared" si="6"/>
        <v>657544.00999999989</v>
      </c>
      <c r="AG200" s="47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4"/>
    </row>
    <row r="201" spans="1:64" hidden="1">
      <c r="A201" s="4">
        <v>16</v>
      </c>
      <c r="B201" s="35" t="s">
        <v>454</v>
      </c>
      <c r="C201" s="35"/>
      <c r="D201" s="35" t="s">
        <v>465</v>
      </c>
      <c r="E201" s="3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35"/>
      <c r="AF201" s="77">
        <f t="shared" si="6"/>
        <v>0</v>
      </c>
    </row>
    <row r="202" spans="1:64" hidden="1">
      <c r="A202" s="4">
        <v>228</v>
      </c>
      <c r="B202" s="3" t="s">
        <v>434</v>
      </c>
      <c r="D202" s="3" t="s">
        <v>54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77">
        <f t="shared" si="6"/>
        <v>0</v>
      </c>
    </row>
    <row r="203" spans="1:64">
      <c r="A203" s="4">
        <v>33</v>
      </c>
      <c r="B203" s="35" t="s">
        <v>455</v>
      </c>
      <c r="C203" s="35"/>
      <c r="D203" s="35" t="s">
        <v>472</v>
      </c>
      <c r="E203" s="35"/>
      <c r="F203" s="6">
        <v>0</v>
      </c>
      <c r="G203" s="6"/>
      <c r="H203" s="6">
        <v>465310.4</v>
      </c>
      <c r="I203" s="6"/>
      <c r="J203" s="6">
        <v>0</v>
      </c>
      <c r="K203" s="6"/>
      <c r="L203" s="6">
        <v>0</v>
      </c>
      <c r="M203" s="6"/>
      <c r="N203" s="6">
        <v>0</v>
      </c>
      <c r="O203" s="6"/>
      <c r="P203" s="6">
        <v>0</v>
      </c>
      <c r="Q203" s="6"/>
      <c r="R203" s="6">
        <v>0</v>
      </c>
      <c r="S203" s="6"/>
      <c r="T203" s="6">
        <v>0</v>
      </c>
      <c r="U203" s="6"/>
      <c r="V203" s="6">
        <v>0</v>
      </c>
      <c r="W203" s="6"/>
      <c r="X203" s="6">
        <v>0</v>
      </c>
      <c r="Y203" s="6"/>
      <c r="Z203" s="6">
        <v>0</v>
      </c>
      <c r="AA203" s="6"/>
      <c r="AB203" s="6">
        <v>0</v>
      </c>
      <c r="AC203" s="6"/>
      <c r="AD203" s="6">
        <v>0</v>
      </c>
      <c r="AE203" s="6"/>
      <c r="AF203" s="73">
        <f t="shared" si="6"/>
        <v>465310.4</v>
      </c>
    </row>
    <row r="204" spans="1:64">
      <c r="A204" s="4">
        <v>112</v>
      </c>
      <c r="B204" s="3" t="s">
        <v>337</v>
      </c>
      <c r="D204" s="3" t="s">
        <v>87</v>
      </c>
      <c r="F204" s="4">
        <v>0</v>
      </c>
      <c r="G204" s="4"/>
      <c r="H204" s="4">
        <v>155715</v>
      </c>
      <c r="I204" s="4"/>
      <c r="J204" s="4">
        <v>0</v>
      </c>
      <c r="K204" s="4"/>
      <c r="L204" s="4">
        <v>95406</v>
      </c>
      <c r="M204" s="4"/>
      <c r="N204" s="4">
        <v>0</v>
      </c>
      <c r="O204" s="4"/>
      <c r="P204" s="4">
        <v>0</v>
      </c>
      <c r="Q204" s="4"/>
      <c r="R204" s="4">
        <v>0</v>
      </c>
      <c r="S204" s="4"/>
      <c r="T204" s="4">
        <v>3907</v>
      </c>
      <c r="U204" s="4"/>
      <c r="V204" s="4">
        <v>0</v>
      </c>
      <c r="W204" s="4"/>
      <c r="X204" s="4">
        <v>0</v>
      </c>
      <c r="Y204" s="4"/>
      <c r="Z204" s="4">
        <v>153068</v>
      </c>
      <c r="AA204" s="4"/>
      <c r="AB204" s="4">
        <v>0</v>
      </c>
      <c r="AC204" s="4"/>
      <c r="AD204" s="4">
        <v>0</v>
      </c>
      <c r="AE204" s="4"/>
      <c r="AF204" s="77">
        <f t="shared" si="6"/>
        <v>408096</v>
      </c>
    </row>
    <row r="205" spans="1:64">
      <c r="A205" s="4">
        <v>60</v>
      </c>
      <c r="B205" s="3" t="s">
        <v>209</v>
      </c>
      <c r="D205" s="3" t="s">
        <v>79</v>
      </c>
      <c r="F205" s="6">
        <v>0</v>
      </c>
      <c r="G205" s="6"/>
      <c r="H205" s="6">
        <v>268116.2</v>
      </c>
      <c r="I205" s="6"/>
      <c r="J205" s="6">
        <v>0</v>
      </c>
      <c r="K205" s="6"/>
      <c r="L205" s="6">
        <v>0</v>
      </c>
      <c r="M205" s="6"/>
      <c r="N205" s="6">
        <v>0</v>
      </c>
      <c r="O205" s="6"/>
      <c r="P205" s="6">
        <v>0</v>
      </c>
      <c r="Q205" s="6"/>
      <c r="R205" s="6">
        <v>0</v>
      </c>
      <c r="S205" s="6"/>
      <c r="T205" s="6">
        <v>1471.79</v>
      </c>
      <c r="U205" s="6"/>
      <c r="V205" s="6">
        <v>0</v>
      </c>
      <c r="W205" s="6"/>
      <c r="X205" s="6">
        <v>0</v>
      </c>
      <c r="Y205" s="6"/>
      <c r="Z205" s="6">
        <v>0</v>
      </c>
      <c r="AA205" s="6"/>
      <c r="AB205" s="6">
        <v>0</v>
      </c>
      <c r="AC205" s="6"/>
      <c r="AD205" s="6">
        <v>0</v>
      </c>
      <c r="AE205" s="6"/>
      <c r="AF205" s="73">
        <f t="shared" si="6"/>
        <v>269587.99</v>
      </c>
    </row>
    <row r="206" spans="1:64">
      <c r="A206" s="4">
        <v>186</v>
      </c>
      <c r="B206" s="35" t="s">
        <v>456</v>
      </c>
      <c r="C206" s="35"/>
      <c r="D206" s="35" t="s">
        <v>491</v>
      </c>
      <c r="E206" s="35"/>
      <c r="F206" s="6">
        <v>0</v>
      </c>
      <c r="G206" s="6"/>
      <c r="H206" s="6">
        <v>99000.22</v>
      </c>
      <c r="I206" s="6"/>
      <c r="J206" s="6">
        <v>0</v>
      </c>
      <c r="K206" s="6"/>
      <c r="L206" s="6">
        <v>0</v>
      </c>
      <c r="M206" s="6"/>
      <c r="N206" s="6">
        <v>0</v>
      </c>
      <c r="O206" s="6"/>
      <c r="P206" s="6">
        <v>0</v>
      </c>
      <c r="Q206" s="6"/>
      <c r="R206" s="6">
        <v>0</v>
      </c>
      <c r="S206" s="6"/>
      <c r="T206" s="6">
        <v>0</v>
      </c>
      <c r="U206" s="6"/>
      <c r="V206" s="6">
        <v>0</v>
      </c>
      <c r="W206" s="6"/>
      <c r="X206" s="6">
        <v>0</v>
      </c>
      <c r="Y206" s="6"/>
      <c r="Z206" s="6">
        <v>0</v>
      </c>
      <c r="AA206" s="6"/>
      <c r="AB206" s="6">
        <v>0</v>
      </c>
      <c r="AC206" s="6"/>
      <c r="AD206" s="6">
        <v>0</v>
      </c>
      <c r="AE206" s="6"/>
      <c r="AF206" s="73">
        <f t="shared" si="6"/>
        <v>99000.22</v>
      </c>
    </row>
    <row r="207" spans="1:64">
      <c r="A207" s="4">
        <v>235</v>
      </c>
      <c r="B207" s="35" t="s">
        <v>210</v>
      </c>
      <c r="C207" s="35"/>
      <c r="D207" s="35" t="s">
        <v>494</v>
      </c>
      <c r="E207" s="35"/>
      <c r="F207" s="6">
        <v>0</v>
      </c>
      <c r="G207" s="6"/>
      <c r="H207" s="6">
        <v>254726.58</v>
      </c>
      <c r="I207" s="6"/>
      <c r="J207" s="6">
        <v>0</v>
      </c>
      <c r="K207" s="6"/>
      <c r="L207" s="6">
        <v>0</v>
      </c>
      <c r="M207" s="6"/>
      <c r="N207" s="6">
        <v>0</v>
      </c>
      <c r="O207" s="6"/>
      <c r="P207" s="6">
        <v>0</v>
      </c>
      <c r="Q207" s="6"/>
      <c r="R207" s="6">
        <v>0</v>
      </c>
      <c r="S207" s="6"/>
      <c r="T207" s="6">
        <v>0</v>
      </c>
      <c r="U207" s="6"/>
      <c r="V207" s="6">
        <v>0</v>
      </c>
      <c r="W207" s="6"/>
      <c r="X207" s="6">
        <v>0</v>
      </c>
      <c r="Y207" s="6"/>
      <c r="Z207" s="6">
        <v>44767.73</v>
      </c>
      <c r="AA207" s="6"/>
      <c r="AB207" s="6">
        <v>0</v>
      </c>
      <c r="AC207" s="6"/>
      <c r="AD207" s="6">
        <v>545.39</v>
      </c>
      <c r="AE207" s="6"/>
      <c r="AF207" s="73">
        <f t="shared" si="6"/>
        <v>300039.7</v>
      </c>
    </row>
    <row r="208" spans="1:64">
      <c r="A208" s="4">
        <v>229</v>
      </c>
      <c r="B208" s="3" t="s">
        <v>211</v>
      </c>
      <c r="D208" s="3" t="s">
        <v>54</v>
      </c>
      <c r="F208" s="4">
        <v>9923</v>
      </c>
      <c r="G208" s="4"/>
      <c r="H208" s="4">
        <v>191786</v>
      </c>
      <c r="I208" s="4"/>
      <c r="J208" s="4">
        <v>118950</v>
      </c>
      <c r="K208" s="4"/>
      <c r="L208" s="4">
        <v>94315</v>
      </c>
      <c r="M208" s="4"/>
      <c r="N208" s="4">
        <v>184552</v>
      </c>
      <c r="O208" s="4"/>
      <c r="P208" s="4">
        <v>0</v>
      </c>
      <c r="Q208" s="4"/>
      <c r="R208" s="4">
        <v>0</v>
      </c>
      <c r="S208" s="4"/>
      <c r="T208" s="4">
        <v>82010</v>
      </c>
      <c r="U208" s="4"/>
      <c r="V208" s="4">
        <v>0</v>
      </c>
      <c r="W208" s="4"/>
      <c r="X208" s="4">
        <v>0</v>
      </c>
      <c r="Y208" s="4"/>
      <c r="Z208" s="4">
        <v>0</v>
      </c>
      <c r="AA208" s="4"/>
      <c r="AB208" s="4">
        <v>0</v>
      </c>
      <c r="AC208" s="4"/>
      <c r="AD208" s="4">
        <v>0</v>
      </c>
      <c r="AE208" s="4"/>
      <c r="AF208" s="77">
        <f t="shared" si="6"/>
        <v>681536</v>
      </c>
    </row>
    <row r="209" spans="1:64">
      <c r="A209" s="4">
        <v>85</v>
      </c>
      <c r="B209" s="3" t="s">
        <v>214</v>
      </c>
      <c r="D209" s="3" t="s">
        <v>40</v>
      </c>
      <c r="F209" s="6">
        <v>0</v>
      </c>
      <c r="G209" s="6"/>
      <c r="H209" s="6">
        <v>105403.36</v>
      </c>
      <c r="I209" s="6"/>
      <c r="J209" s="6">
        <v>0</v>
      </c>
      <c r="K209" s="6"/>
      <c r="L209" s="6">
        <v>0</v>
      </c>
      <c r="M209" s="6"/>
      <c r="N209" s="6">
        <v>0</v>
      </c>
      <c r="O209" s="6"/>
      <c r="P209" s="6">
        <v>0</v>
      </c>
      <c r="Q209" s="6"/>
      <c r="R209" s="6">
        <v>0</v>
      </c>
      <c r="S209" s="6"/>
      <c r="T209" s="6">
        <v>5465.62</v>
      </c>
      <c r="U209" s="6"/>
      <c r="V209" s="6">
        <v>0</v>
      </c>
      <c r="W209" s="6"/>
      <c r="X209" s="6">
        <v>0</v>
      </c>
      <c r="Y209" s="6"/>
      <c r="Z209" s="6">
        <v>0</v>
      </c>
      <c r="AA209" s="6"/>
      <c r="AB209" s="6">
        <v>0</v>
      </c>
      <c r="AC209" s="6"/>
      <c r="AD209" s="6">
        <v>0</v>
      </c>
      <c r="AE209" s="6"/>
      <c r="AF209" s="73">
        <f t="shared" ref="AF209:AF245" si="7">SUM(F209:AD209)</f>
        <v>110868.98</v>
      </c>
    </row>
    <row r="210" spans="1:64">
      <c r="A210" s="4">
        <v>250</v>
      </c>
      <c r="B210" s="35" t="s">
        <v>215</v>
      </c>
      <c r="C210" s="35"/>
      <c r="D210" s="35" t="s">
        <v>496</v>
      </c>
      <c r="E210" s="35"/>
      <c r="F210" s="6">
        <v>0</v>
      </c>
      <c r="G210" s="6"/>
      <c r="H210" s="6">
        <v>83423</v>
      </c>
      <c r="I210" s="6"/>
      <c r="J210" s="6">
        <v>105049.04</v>
      </c>
      <c r="K210" s="6"/>
      <c r="L210" s="6">
        <v>72429.02</v>
      </c>
      <c r="M210" s="6"/>
      <c r="N210" s="6">
        <v>100664.69</v>
      </c>
      <c r="O210" s="6"/>
      <c r="P210" s="6">
        <v>0</v>
      </c>
      <c r="Q210" s="6"/>
      <c r="R210" s="6">
        <v>0</v>
      </c>
      <c r="S210" s="6"/>
      <c r="T210" s="6">
        <v>3398.83</v>
      </c>
      <c r="U210" s="6"/>
      <c r="V210" s="6">
        <v>0</v>
      </c>
      <c r="W210" s="6"/>
      <c r="X210" s="6">
        <v>0</v>
      </c>
      <c r="Y210" s="6"/>
      <c r="Z210" s="6">
        <v>0</v>
      </c>
      <c r="AA210" s="6"/>
      <c r="AB210" s="6">
        <v>0</v>
      </c>
      <c r="AC210" s="6"/>
      <c r="AD210" s="6">
        <v>0</v>
      </c>
      <c r="AE210" s="6"/>
      <c r="AF210" s="73">
        <f t="shared" si="7"/>
        <v>364964.58</v>
      </c>
      <c r="AG210" s="4"/>
    </row>
    <row r="211" spans="1:64">
      <c r="A211" s="4">
        <v>213</v>
      </c>
      <c r="B211" s="3" t="s">
        <v>216</v>
      </c>
      <c r="D211" s="3" t="s">
        <v>23</v>
      </c>
      <c r="F211" s="4">
        <v>105433</v>
      </c>
      <c r="G211" s="4"/>
      <c r="H211" s="4">
        <v>533023</v>
      </c>
      <c r="I211" s="4"/>
      <c r="J211" s="4">
        <v>438670</v>
      </c>
      <c r="K211" s="4"/>
      <c r="L211" s="4">
        <v>129299</v>
      </c>
      <c r="M211" s="4"/>
      <c r="N211" s="4">
        <v>313165</v>
      </c>
      <c r="O211" s="4"/>
      <c r="P211" s="4">
        <v>0</v>
      </c>
      <c r="Q211" s="4"/>
      <c r="R211" s="4">
        <v>0</v>
      </c>
      <c r="S211" s="4"/>
      <c r="T211" s="4">
        <v>79942</v>
      </c>
      <c r="U211" s="4"/>
      <c r="V211" s="4">
        <v>0</v>
      </c>
      <c r="W211" s="4"/>
      <c r="X211" s="4">
        <v>0</v>
      </c>
      <c r="Y211" s="4"/>
      <c r="Z211" s="4">
        <v>0</v>
      </c>
      <c r="AA211" s="4"/>
      <c r="AB211" s="4">
        <v>0</v>
      </c>
      <c r="AC211" s="4"/>
      <c r="AD211" s="4">
        <v>0</v>
      </c>
      <c r="AE211" s="4"/>
      <c r="AF211" s="77">
        <f t="shared" si="7"/>
        <v>1599532</v>
      </c>
    </row>
    <row r="212" spans="1:64">
      <c r="A212" s="4"/>
      <c r="B212" s="3" t="s">
        <v>607</v>
      </c>
      <c r="D212" s="3" t="s">
        <v>54</v>
      </c>
      <c r="F212" s="4">
        <v>250266</v>
      </c>
      <c r="G212" s="4"/>
      <c r="H212" s="4">
        <f>19024+291877</f>
        <v>310901</v>
      </c>
      <c r="I212" s="4"/>
      <c r="J212" s="4">
        <v>0</v>
      </c>
      <c r="K212" s="4"/>
      <c r="L212" s="4">
        <v>0</v>
      </c>
      <c r="M212" s="4"/>
      <c r="N212" s="4">
        <v>0</v>
      </c>
      <c r="O212" s="4"/>
      <c r="P212" s="4">
        <v>5412</v>
      </c>
      <c r="Q212" s="4"/>
      <c r="R212" s="4">
        <v>538</v>
      </c>
      <c r="S212" s="4"/>
      <c r="T212" s="4">
        <v>6000</v>
      </c>
      <c r="U212" s="4"/>
      <c r="V212" s="4">
        <v>0</v>
      </c>
      <c r="W212" s="4"/>
      <c r="X212" s="4">
        <v>0</v>
      </c>
      <c r="Y212" s="4"/>
      <c r="Z212" s="4">
        <v>0</v>
      </c>
      <c r="AA212" s="4"/>
      <c r="AB212" s="4">
        <v>0</v>
      </c>
      <c r="AC212" s="4"/>
      <c r="AD212" s="4">
        <v>0</v>
      </c>
      <c r="AE212" s="4"/>
      <c r="AF212" s="77">
        <f t="shared" si="7"/>
        <v>573117</v>
      </c>
    </row>
    <row r="213" spans="1:64" s="4" customFormat="1">
      <c r="A213" s="4">
        <v>251</v>
      </c>
      <c r="B213" s="3" t="s">
        <v>436</v>
      </c>
      <c r="C213" s="3"/>
      <c r="D213" s="3" t="s">
        <v>63</v>
      </c>
      <c r="E213" s="3"/>
      <c r="F213" s="4">
        <v>41010</v>
      </c>
      <c r="H213" s="4">
        <v>2067</v>
      </c>
      <c r="J213" s="4">
        <v>0</v>
      </c>
      <c r="L213" s="4">
        <v>0</v>
      </c>
      <c r="N213" s="4">
        <v>0</v>
      </c>
      <c r="P213" s="4">
        <v>1618</v>
      </c>
      <c r="R213" s="4">
        <v>447</v>
      </c>
      <c r="T213" s="4">
        <v>3872</v>
      </c>
      <c r="V213" s="4">
        <v>0</v>
      </c>
      <c r="X213" s="4">
        <v>0</v>
      </c>
      <c r="Z213" s="4">
        <v>0</v>
      </c>
      <c r="AB213" s="4">
        <v>0</v>
      </c>
      <c r="AD213" s="4">
        <v>0</v>
      </c>
      <c r="AF213" s="77">
        <f t="shared" si="7"/>
        <v>49014</v>
      </c>
      <c r="AG213" s="47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</row>
    <row r="214" spans="1:64" s="4" customFormat="1">
      <c r="A214" s="4">
        <v>113</v>
      </c>
      <c r="B214" s="3" t="s">
        <v>217</v>
      </c>
      <c r="C214" s="3"/>
      <c r="D214" s="3" t="s">
        <v>87</v>
      </c>
      <c r="E214" s="3"/>
      <c r="F214" s="76">
        <v>0</v>
      </c>
      <c r="G214" s="76"/>
      <c r="H214" s="76">
        <v>648444.4</v>
      </c>
      <c r="I214" s="76"/>
      <c r="J214" s="76">
        <v>0</v>
      </c>
      <c r="K214" s="76"/>
      <c r="L214" s="76">
        <v>0</v>
      </c>
      <c r="M214" s="76"/>
      <c r="N214" s="76">
        <v>0</v>
      </c>
      <c r="O214" s="76"/>
      <c r="P214" s="76">
        <v>0</v>
      </c>
      <c r="Q214" s="76"/>
      <c r="R214" s="76">
        <v>0</v>
      </c>
      <c r="S214" s="76"/>
      <c r="T214" s="76">
        <v>24945.98</v>
      </c>
      <c r="U214" s="76"/>
      <c r="V214" s="76">
        <v>0</v>
      </c>
      <c r="W214" s="76"/>
      <c r="X214" s="76">
        <v>0</v>
      </c>
      <c r="Y214" s="76"/>
      <c r="Z214" s="76">
        <v>125000</v>
      </c>
      <c r="AA214" s="76"/>
      <c r="AB214" s="76">
        <v>0</v>
      </c>
      <c r="AC214" s="76"/>
      <c r="AD214" s="76">
        <v>0</v>
      </c>
      <c r="AE214" s="76"/>
      <c r="AF214" s="73">
        <f t="shared" si="7"/>
        <v>798390.38</v>
      </c>
      <c r="AG214" s="47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</row>
    <row r="215" spans="1:64" s="4" customFormat="1">
      <c r="A215" s="4">
        <v>183</v>
      </c>
      <c r="B215" s="3" t="s">
        <v>218</v>
      </c>
      <c r="C215" s="3"/>
      <c r="D215" s="3" t="s">
        <v>156</v>
      </c>
      <c r="E215" s="3"/>
      <c r="F215" s="4">
        <v>0</v>
      </c>
      <c r="H215" s="4">
        <v>243688</v>
      </c>
      <c r="J215" s="4">
        <v>0</v>
      </c>
      <c r="L215" s="4">
        <v>0</v>
      </c>
      <c r="N215" s="4">
        <v>0</v>
      </c>
      <c r="P215" s="4">
        <v>0</v>
      </c>
      <c r="R215" s="4">
        <v>0</v>
      </c>
      <c r="T215" s="4">
        <v>0</v>
      </c>
      <c r="V215" s="4">
        <v>0</v>
      </c>
      <c r="X215" s="4">
        <v>0</v>
      </c>
      <c r="Z215" s="4">
        <v>0</v>
      </c>
      <c r="AB215" s="4">
        <v>0</v>
      </c>
      <c r="AD215" s="4">
        <v>0</v>
      </c>
      <c r="AF215" s="77">
        <f t="shared" si="7"/>
        <v>243688</v>
      </c>
      <c r="AG215" s="47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</row>
    <row r="216" spans="1:64" s="4" customFormat="1" hidden="1">
      <c r="A216" s="4">
        <v>116</v>
      </c>
      <c r="B216" s="3" t="s">
        <v>219</v>
      </c>
      <c r="C216" s="3"/>
      <c r="D216" s="3" t="s">
        <v>168</v>
      </c>
      <c r="E216" s="3"/>
      <c r="AF216" s="77">
        <f t="shared" si="7"/>
        <v>0</v>
      </c>
      <c r="AG216" s="47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</row>
    <row r="217" spans="1:64">
      <c r="A217" s="4">
        <v>146</v>
      </c>
      <c r="B217" s="3" t="s">
        <v>220</v>
      </c>
      <c r="D217" s="3" t="s">
        <v>55</v>
      </c>
      <c r="F217" s="76">
        <v>0</v>
      </c>
      <c r="G217" s="76"/>
      <c r="H217" s="76">
        <v>1100862.33</v>
      </c>
      <c r="I217" s="76"/>
      <c r="J217" s="76">
        <v>0</v>
      </c>
      <c r="K217" s="76"/>
      <c r="L217" s="76">
        <v>0</v>
      </c>
      <c r="M217" s="76"/>
      <c r="N217" s="76">
        <v>0</v>
      </c>
      <c r="O217" s="76"/>
      <c r="P217" s="76">
        <v>0</v>
      </c>
      <c r="Q217" s="76"/>
      <c r="R217" s="76">
        <v>0</v>
      </c>
      <c r="S217" s="76"/>
      <c r="T217" s="76">
        <v>20446.73</v>
      </c>
      <c r="U217" s="76"/>
      <c r="V217" s="76">
        <v>0</v>
      </c>
      <c r="W217" s="76"/>
      <c r="X217" s="76">
        <v>0</v>
      </c>
      <c r="Y217" s="76"/>
      <c r="Z217" s="76">
        <v>100000</v>
      </c>
      <c r="AA217" s="76"/>
      <c r="AB217" s="76">
        <v>0</v>
      </c>
      <c r="AC217" s="76"/>
      <c r="AD217" s="76">
        <v>0</v>
      </c>
      <c r="AE217" s="76"/>
      <c r="AF217" s="73">
        <f t="shared" si="7"/>
        <v>1221309.06</v>
      </c>
      <c r="AR217" s="3">
        <v>838.96</v>
      </c>
    </row>
    <row r="218" spans="1:64" s="28" customFormat="1">
      <c r="A218" s="4">
        <v>246</v>
      </c>
      <c r="B218" s="3" t="s">
        <v>222</v>
      </c>
      <c r="C218" s="3"/>
      <c r="D218" s="3" t="s">
        <v>223</v>
      </c>
      <c r="E218" s="3"/>
      <c r="F218" s="4">
        <v>48929</v>
      </c>
      <c r="G218" s="4"/>
      <c r="H218" s="4">
        <v>402727</v>
      </c>
      <c r="I218" s="4"/>
      <c r="J218" s="4">
        <v>137647</v>
      </c>
      <c r="K218" s="4"/>
      <c r="L218" s="4">
        <v>111033</v>
      </c>
      <c r="M218" s="4"/>
      <c r="N218" s="4">
        <v>159943</v>
      </c>
      <c r="O218" s="4"/>
      <c r="P218" s="4">
        <v>0</v>
      </c>
      <c r="Q218" s="4"/>
      <c r="R218" s="4">
        <v>0</v>
      </c>
      <c r="S218" s="4"/>
      <c r="T218" s="4">
        <v>0</v>
      </c>
      <c r="U218" s="4"/>
      <c r="V218" s="4">
        <v>0</v>
      </c>
      <c r="W218" s="4"/>
      <c r="X218" s="4">
        <v>0</v>
      </c>
      <c r="Y218" s="4"/>
      <c r="Z218" s="4">
        <v>0</v>
      </c>
      <c r="AA218" s="4"/>
      <c r="AB218" s="4">
        <v>0</v>
      </c>
      <c r="AC218" s="4"/>
      <c r="AD218" s="4">
        <v>0</v>
      </c>
      <c r="AE218" s="4"/>
      <c r="AF218" s="77">
        <f t="shared" si="7"/>
        <v>860279</v>
      </c>
      <c r="AG218" s="47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4"/>
    </row>
    <row r="219" spans="1:64">
      <c r="A219" s="4">
        <v>136</v>
      </c>
      <c r="B219" s="3" t="s">
        <v>224</v>
      </c>
      <c r="D219" s="3" t="s">
        <v>39</v>
      </c>
      <c r="F219" s="6">
        <v>0</v>
      </c>
      <c r="G219" s="6"/>
      <c r="H219" s="6">
        <v>727129.69</v>
      </c>
      <c r="I219" s="6"/>
      <c r="J219" s="6">
        <v>0</v>
      </c>
      <c r="K219" s="6"/>
      <c r="L219" s="6">
        <v>0</v>
      </c>
      <c r="M219" s="6"/>
      <c r="N219" s="6">
        <v>0</v>
      </c>
      <c r="O219" s="6"/>
      <c r="P219" s="6">
        <v>0</v>
      </c>
      <c r="Q219" s="6"/>
      <c r="R219" s="6">
        <v>0</v>
      </c>
      <c r="S219" s="6"/>
      <c r="T219" s="6">
        <v>49781.5</v>
      </c>
      <c r="U219" s="6"/>
      <c r="V219" s="6">
        <v>0</v>
      </c>
      <c r="W219" s="6"/>
      <c r="X219" s="6">
        <v>0</v>
      </c>
      <c r="Y219" s="6"/>
      <c r="Z219" s="6">
        <v>0</v>
      </c>
      <c r="AA219" s="6"/>
      <c r="AB219" s="6">
        <v>0</v>
      </c>
      <c r="AC219" s="6"/>
      <c r="AD219" s="6">
        <v>0</v>
      </c>
      <c r="AE219" s="6"/>
      <c r="AF219" s="73">
        <f t="shared" si="7"/>
        <v>776911.19</v>
      </c>
      <c r="AG219" s="47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4"/>
    </row>
    <row r="220" spans="1:64" s="28" customFormat="1">
      <c r="A220" s="4">
        <v>106</v>
      </c>
      <c r="B220" s="3" t="s">
        <v>225</v>
      </c>
      <c r="C220" s="3"/>
      <c r="D220" s="3" t="s">
        <v>58</v>
      </c>
      <c r="E220" s="3"/>
      <c r="F220" s="76">
        <v>0</v>
      </c>
      <c r="G220" s="76"/>
      <c r="H220" s="76">
        <v>201071.59</v>
      </c>
      <c r="I220" s="76"/>
      <c r="J220" s="76">
        <v>0</v>
      </c>
      <c r="K220" s="76"/>
      <c r="L220" s="76">
        <v>0</v>
      </c>
      <c r="M220" s="76"/>
      <c r="N220" s="76">
        <v>0</v>
      </c>
      <c r="O220" s="76"/>
      <c r="P220" s="76">
        <v>0</v>
      </c>
      <c r="Q220" s="76"/>
      <c r="R220" s="76">
        <v>0</v>
      </c>
      <c r="S220" s="76"/>
      <c r="T220" s="76">
        <v>3818.05</v>
      </c>
      <c r="U220" s="76"/>
      <c r="V220" s="76">
        <v>0</v>
      </c>
      <c r="W220" s="76"/>
      <c r="X220" s="76">
        <v>0</v>
      </c>
      <c r="Y220" s="76"/>
      <c r="Z220" s="76">
        <v>0</v>
      </c>
      <c r="AA220" s="76"/>
      <c r="AB220" s="76">
        <v>0</v>
      </c>
      <c r="AC220" s="76"/>
      <c r="AD220" s="76">
        <v>0</v>
      </c>
      <c r="AE220" s="76"/>
      <c r="AF220" s="73">
        <f t="shared" si="7"/>
        <v>204889.63999999998</v>
      </c>
      <c r="AG220" s="47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4"/>
    </row>
    <row r="221" spans="1:64" s="28" customFormat="1">
      <c r="A221" s="4">
        <v>184</v>
      </c>
      <c r="B221" s="3" t="s">
        <v>226</v>
      </c>
      <c r="C221" s="3"/>
      <c r="D221" s="3" t="s">
        <v>227</v>
      </c>
      <c r="E221" s="3"/>
      <c r="F221" s="6">
        <v>0</v>
      </c>
      <c r="G221" s="6"/>
      <c r="H221" s="6">
        <v>1109061</v>
      </c>
      <c r="I221" s="6"/>
      <c r="J221" s="6">
        <v>0</v>
      </c>
      <c r="K221" s="6"/>
      <c r="L221" s="6">
        <v>0</v>
      </c>
      <c r="M221" s="6"/>
      <c r="N221" s="6">
        <v>0</v>
      </c>
      <c r="O221" s="6"/>
      <c r="P221" s="6">
        <v>0</v>
      </c>
      <c r="Q221" s="6"/>
      <c r="R221" s="6">
        <v>0</v>
      </c>
      <c r="S221" s="6"/>
      <c r="T221" s="6">
        <v>0</v>
      </c>
      <c r="U221" s="6"/>
      <c r="V221" s="6">
        <v>0</v>
      </c>
      <c r="W221" s="6"/>
      <c r="X221" s="6">
        <v>0</v>
      </c>
      <c r="Y221" s="6"/>
      <c r="Z221" s="6">
        <v>0</v>
      </c>
      <c r="AA221" s="6"/>
      <c r="AB221" s="6">
        <v>0</v>
      </c>
      <c r="AC221" s="6"/>
      <c r="AD221" s="6">
        <v>0</v>
      </c>
      <c r="AE221" s="6"/>
      <c r="AF221" s="73">
        <f t="shared" si="7"/>
        <v>1109061</v>
      </c>
      <c r="AG221" s="47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4"/>
    </row>
    <row r="222" spans="1:64" s="4" customFormat="1">
      <c r="A222" s="4">
        <v>252</v>
      </c>
      <c r="B222" s="35" t="s">
        <v>459</v>
      </c>
      <c r="C222" s="35"/>
      <c r="D222" s="35" t="s">
        <v>496</v>
      </c>
      <c r="E222" s="35"/>
      <c r="F222" s="6">
        <v>0</v>
      </c>
      <c r="G222" s="6"/>
      <c r="H222" s="6">
        <v>313274.32</v>
      </c>
      <c r="I222" s="6"/>
      <c r="J222" s="6">
        <v>0</v>
      </c>
      <c r="K222" s="6"/>
      <c r="L222" s="6">
        <v>0</v>
      </c>
      <c r="M222" s="6"/>
      <c r="N222" s="6">
        <v>0</v>
      </c>
      <c r="O222" s="6"/>
      <c r="P222" s="6">
        <v>0</v>
      </c>
      <c r="Q222" s="6"/>
      <c r="R222" s="6">
        <v>0</v>
      </c>
      <c r="S222" s="6"/>
      <c r="T222" s="6">
        <v>11050.06</v>
      </c>
      <c r="U222" s="6"/>
      <c r="V222" s="6">
        <v>0</v>
      </c>
      <c r="W222" s="6"/>
      <c r="X222" s="6">
        <v>0</v>
      </c>
      <c r="Y222" s="6"/>
      <c r="Z222" s="6">
        <v>0</v>
      </c>
      <c r="AA222" s="6"/>
      <c r="AB222" s="6">
        <v>0</v>
      </c>
      <c r="AC222" s="6"/>
      <c r="AD222" s="6">
        <v>0</v>
      </c>
      <c r="AE222" s="6"/>
      <c r="AF222" s="73">
        <f t="shared" si="7"/>
        <v>324324.38</v>
      </c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</row>
    <row r="223" spans="1:64" s="4" customFormat="1">
      <c r="A223" s="4">
        <v>219</v>
      </c>
      <c r="B223" s="3" t="s">
        <v>230</v>
      </c>
      <c r="C223" s="3"/>
      <c r="D223" s="3" t="s">
        <v>20</v>
      </c>
      <c r="E223" s="3"/>
      <c r="F223" s="6">
        <v>0</v>
      </c>
      <c r="G223" s="6"/>
      <c r="H223" s="6">
        <v>365368.67</v>
      </c>
      <c r="I223" s="6"/>
      <c r="J223" s="6">
        <v>0</v>
      </c>
      <c r="K223" s="6"/>
      <c r="L223" s="6">
        <v>0</v>
      </c>
      <c r="M223" s="6"/>
      <c r="N223" s="6">
        <v>0</v>
      </c>
      <c r="O223" s="6"/>
      <c r="P223" s="6">
        <v>0</v>
      </c>
      <c r="Q223" s="6"/>
      <c r="R223" s="6">
        <v>0</v>
      </c>
      <c r="S223" s="6"/>
      <c r="T223" s="6">
        <v>5399</v>
      </c>
      <c r="U223" s="6"/>
      <c r="V223" s="6">
        <v>0</v>
      </c>
      <c r="W223" s="6"/>
      <c r="X223" s="6">
        <v>0</v>
      </c>
      <c r="Y223" s="6"/>
      <c r="Z223" s="6">
        <v>0</v>
      </c>
      <c r="AA223" s="6"/>
      <c r="AB223" s="6">
        <v>0</v>
      </c>
      <c r="AC223" s="6"/>
      <c r="AD223" s="6">
        <v>0</v>
      </c>
      <c r="AE223" s="6"/>
      <c r="AF223" s="73">
        <f t="shared" si="7"/>
        <v>370767.67</v>
      </c>
      <c r="AG223" s="47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</row>
    <row r="224" spans="1:64" s="4" customFormat="1">
      <c r="A224" s="4">
        <v>187</v>
      </c>
      <c r="B224" s="35" t="s">
        <v>594</v>
      </c>
      <c r="C224" s="35"/>
      <c r="D224" s="35" t="s">
        <v>491</v>
      </c>
      <c r="E224" s="35"/>
      <c r="F224" s="6">
        <v>0</v>
      </c>
      <c r="G224" s="6"/>
      <c r="H224" s="6">
        <v>1144471.31</v>
      </c>
      <c r="I224" s="6"/>
      <c r="J224" s="6">
        <v>0</v>
      </c>
      <c r="K224" s="6"/>
      <c r="L224" s="6">
        <v>0</v>
      </c>
      <c r="M224" s="6"/>
      <c r="N224" s="6">
        <v>0</v>
      </c>
      <c r="O224" s="6"/>
      <c r="P224" s="6">
        <v>0</v>
      </c>
      <c r="Q224" s="6"/>
      <c r="R224" s="6">
        <v>0</v>
      </c>
      <c r="S224" s="6"/>
      <c r="T224" s="6">
        <v>272550</v>
      </c>
      <c r="U224" s="6"/>
      <c r="V224" s="6">
        <v>0</v>
      </c>
      <c r="W224" s="6"/>
      <c r="X224" s="6">
        <v>0</v>
      </c>
      <c r="Y224" s="6"/>
      <c r="Z224" s="6">
        <v>400000</v>
      </c>
      <c r="AA224" s="6"/>
      <c r="AB224" s="6">
        <v>0</v>
      </c>
      <c r="AC224" s="6"/>
      <c r="AD224" s="6">
        <v>0</v>
      </c>
      <c r="AE224" s="6"/>
      <c r="AF224" s="73">
        <f t="shared" si="7"/>
        <v>1817021.31</v>
      </c>
      <c r="AG224" s="47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</row>
    <row r="225" spans="1:64">
      <c r="A225" s="4">
        <v>176</v>
      </c>
      <c r="B225" s="3" t="s">
        <v>231</v>
      </c>
      <c r="D225" s="3" t="s">
        <v>66</v>
      </c>
      <c r="F225" s="4">
        <v>26624</v>
      </c>
      <c r="G225" s="4"/>
      <c r="H225" s="4">
        <v>104574</v>
      </c>
      <c r="I225" s="4"/>
      <c r="J225" s="4">
        <v>18844</v>
      </c>
      <c r="K225" s="4"/>
      <c r="L225" s="4">
        <v>36325</v>
      </c>
      <c r="M225" s="4"/>
      <c r="N225" s="4">
        <v>819</v>
      </c>
      <c r="O225" s="4"/>
      <c r="P225" s="4">
        <v>0</v>
      </c>
      <c r="Q225" s="4"/>
      <c r="R225" s="4">
        <v>0</v>
      </c>
      <c r="S225" s="4"/>
      <c r="T225" s="4">
        <v>1714</v>
      </c>
      <c r="U225" s="4"/>
      <c r="V225" s="4">
        <v>0</v>
      </c>
      <c r="W225" s="4"/>
      <c r="X225" s="4">
        <v>0</v>
      </c>
      <c r="Y225" s="4"/>
      <c r="Z225" s="4">
        <v>0</v>
      </c>
      <c r="AA225" s="4"/>
      <c r="AB225" s="4">
        <v>0</v>
      </c>
      <c r="AC225" s="4"/>
      <c r="AD225" s="4">
        <v>0</v>
      </c>
      <c r="AE225" s="4"/>
      <c r="AF225" s="77">
        <f t="shared" si="7"/>
        <v>188900</v>
      </c>
    </row>
    <row r="226" spans="1:64" s="4" customFormat="1">
      <c r="A226" s="4">
        <v>128</v>
      </c>
      <c r="B226" s="3" t="s">
        <v>232</v>
      </c>
      <c r="C226" s="3"/>
      <c r="D226" s="3" t="s">
        <v>13</v>
      </c>
      <c r="E226" s="3"/>
      <c r="F226" s="6">
        <v>0</v>
      </c>
      <c r="G226" s="6"/>
      <c r="H226" s="6">
        <v>873300.72</v>
      </c>
      <c r="I226" s="6"/>
      <c r="J226" s="6">
        <v>0</v>
      </c>
      <c r="K226" s="6"/>
      <c r="L226" s="6">
        <v>0</v>
      </c>
      <c r="M226" s="6"/>
      <c r="N226" s="6">
        <v>0</v>
      </c>
      <c r="O226" s="6"/>
      <c r="P226" s="6">
        <v>0</v>
      </c>
      <c r="Q226" s="6"/>
      <c r="R226" s="6">
        <v>0</v>
      </c>
      <c r="S226" s="6"/>
      <c r="T226" s="6">
        <v>0</v>
      </c>
      <c r="U226" s="6"/>
      <c r="V226" s="6">
        <v>0</v>
      </c>
      <c r="W226" s="6"/>
      <c r="X226" s="6">
        <v>0</v>
      </c>
      <c r="Y226" s="6"/>
      <c r="Z226" s="6">
        <v>40000</v>
      </c>
      <c r="AA226" s="6"/>
      <c r="AB226" s="6">
        <v>0</v>
      </c>
      <c r="AC226" s="6"/>
      <c r="AD226" s="6">
        <v>3809.33</v>
      </c>
      <c r="AE226" s="6"/>
      <c r="AF226" s="73">
        <f t="shared" si="7"/>
        <v>917110.04999999993</v>
      </c>
      <c r="AG226" s="47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</row>
    <row r="227" spans="1:64" s="4" customFormat="1">
      <c r="A227" s="4">
        <v>188</v>
      </c>
      <c r="B227" s="3" t="s">
        <v>233</v>
      </c>
      <c r="C227" s="3"/>
      <c r="D227" s="3" t="s">
        <v>234</v>
      </c>
      <c r="E227" s="3"/>
      <c r="F227" s="4">
        <v>0</v>
      </c>
      <c r="H227" s="4">
        <v>1548546</v>
      </c>
      <c r="J227" s="4">
        <v>0</v>
      </c>
      <c r="L227" s="4">
        <v>0</v>
      </c>
      <c r="N227" s="4">
        <v>0</v>
      </c>
      <c r="P227" s="4">
        <v>0</v>
      </c>
      <c r="R227" s="4">
        <v>0</v>
      </c>
      <c r="T227" s="4">
        <v>14512</v>
      </c>
      <c r="V227" s="4">
        <v>0</v>
      </c>
      <c r="X227" s="4">
        <v>0</v>
      </c>
      <c r="Z227" s="4">
        <v>0</v>
      </c>
      <c r="AB227" s="4">
        <v>0</v>
      </c>
      <c r="AD227" s="4">
        <v>0</v>
      </c>
      <c r="AF227" s="77">
        <f t="shared" si="7"/>
        <v>1563058</v>
      </c>
      <c r="AG227" s="47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</row>
    <row r="228" spans="1:64" s="4" customFormat="1">
      <c r="A228" s="4">
        <v>72</v>
      </c>
      <c r="B228" s="35" t="s">
        <v>310</v>
      </c>
      <c r="C228" s="35"/>
      <c r="D228" s="35" t="s">
        <v>477</v>
      </c>
      <c r="E228" s="35"/>
      <c r="F228" s="76">
        <v>0</v>
      </c>
      <c r="G228" s="76"/>
      <c r="H228" s="76">
        <v>1227968.95</v>
      </c>
      <c r="I228" s="76"/>
      <c r="J228" s="76">
        <v>0</v>
      </c>
      <c r="K228" s="76"/>
      <c r="L228" s="76">
        <v>0</v>
      </c>
      <c r="M228" s="76"/>
      <c r="N228" s="76">
        <v>0</v>
      </c>
      <c r="O228" s="76"/>
      <c r="P228" s="76">
        <v>0</v>
      </c>
      <c r="Q228" s="76"/>
      <c r="R228" s="76">
        <v>0</v>
      </c>
      <c r="S228" s="76"/>
      <c r="T228" s="76">
        <v>28451.63</v>
      </c>
      <c r="U228" s="76"/>
      <c r="V228" s="76">
        <v>0</v>
      </c>
      <c r="W228" s="76"/>
      <c r="X228" s="76">
        <v>0</v>
      </c>
      <c r="Y228" s="76"/>
      <c r="Z228" s="76">
        <v>0</v>
      </c>
      <c r="AA228" s="76"/>
      <c r="AB228" s="76">
        <v>0</v>
      </c>
      <c r="AC228" s="76"/>
      <c r="AD228" s="76">
        <v>0</v>
      </c>
      <c r="AE228" s="76"/>
      <c r="AF228" s="73">
        <f t="shared" si="7"/>
        <v>1256420.5799999998</v>
      </c>
      <c r="AG228" s="47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</row>
    <row r="229" spans="1:64" s="4" customFormat="1">
      <c r="A229" s="4">
        <v>163</v>
      </c>
      <c r="B229" s="4" t="s">
        <v>574</v>
      </c>
      <c r="C229" s="3"/>
      <c r="D229" s="3" t="s">
        <v>51</v>
      </c>
      <c r="E229" s="3"/>
      <c r="F229" s="76">
        <v>13000</v>
      </c>
      <c r="G229" s="76"/>
      <c r="H229" s="76">
        <v>992807.63</v>
      </c>
      <c r="I229" s="76"/>
      <c r="J229" s="76">
        <v>0</v>
      </c>
      <c r="K229" s="76"/>
      <c r="L229" s="76">
        <v>0</v>
      </c>
      <c r="M229" s="76"/>
      <c r="N229" s="76">
        <v>0</v>
      </c>
      <c r="O229" s="76"/>
      <c r="P229" s="76">
        <v>0</v>
      </c>
      <c r="Q229" s="76"/>
      <c r="R229" s="76">
        <v>0</v>
      </c>
      <c r="S229" s="76"/>
      <c r="T229" s="76">
        <v>1688.97</v>
      </c>
      <c r="U229" s="76"/>
      <c r="V229" s="76">
        <v>0</v>
      </c>
      <c r="W229" s="76"/>
      <c r="X229" s="76">
        <v>0</v>
      </c>
      <c r="Y229" s="76"/>
      <c r="Z229" s="76">
        <v>0</v>
      </c>
      <c r="AA229" s="76"/>
      <c r="AB229" s="76">
        <v>0</v>
      </c>
      <c r="AC229" s="76"/>
      <c r="AD229" s="76">
        <v>0</v>
      </c>
      <c r="AE229" s="76"/>
      <c r="AF229" s="73">
        <f t="shared" si="7"/>
        <v>1007496.6</v>
      </c>
      <c r="AG229" s="47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</row>
    <row r="230" spans="1:64" s="4" customFormat="1">
      <c r="A230" s="4">
        <v>151</v>
      </c>
      <c r="B230" s="3" t="s">
        <v>235</v>
      </c>
      <c r="C230" s="3"/>
      <c r="D230" s="3" t="s">
        <v>10</v>
      </c>
      <c r="E230" s="3"/>
      <c r="F230" s="6">
        <v>0</v>
      </c>
      <c r="G230" s="6"/>
      <c r="H230" s="6">
        <v>512011.91</v>
      </c>
      <c r="I230" s="6"/>
      <c r="J230" s="6">
        <v>0</v>
      </c>
      <c r="K230" s="6"/>
      <c r="L230" s="6">
        <v>0</v>
      </c>
      <c r="M230" s="6"/>
      <c r="N230" s="6">
        <v>0</v>
      </c>
      <c r="O230" s="6"/>
      <c r="P230" s="6">
        <v>0</v>
      </c>
      <c r="Q230" s="6"/>
      <c r="R230" s="6">
        <v>0</v>
      </c>
      <c r="S230" s="6"/>
      <c r="T230" s="6">
        <v>39230.86</v>
      </c>
      <c r="U230" s="6"/>
      <c r="V230" s="6">
        <v>0</v>
      </c>
      <c r="W230" s="6"/>
      <c r="X230" s="6">
        <v>0</v>
      </c>
      <c r="Y230" s="6"/>
      <c r="Z230" s="6">
        <v>0</v>
      </c>
      <c r="AA230" s="6"/>
      <c r="AB230" s="6">
        <v>0</v>
      </c>
      <c r="AC230" s="6"/>
      <c r="AD230" s="6">
        <v>0</v>
      </c>
      <c r="AE230" s="6"/>
      <c r="AF230" s="73">
        <f t="shared" si="7"/>
        <v>551242.77</v>
      </c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</row>
    <row r="231" spans="1:64" s="4" customFormat="1">
      <c r="A231" s="4">
        <v>192</v>
      </c>
      <c r="B231" s="3" t="s">
        <v>595</v>
      </c>
      <c r="C231" s="3"/>
      <c r="D231" s="3" t="s">
        <v>171</v>
      </c>
      <c r="E231" s="3"/>
      <c r="F231" s="4">
        <v>97634</v>
      </c>
      <c r="H231" s="4">
        <v>919445</v>
      </c>
      <c r="J231" s="4">
        <v>269510</v>
      </c>
      <c r="L231" s="4">
        <v>171323</v>
      </c>
      <c r="N231" s="4">
        <v>428166</v>
      </c>
      <c r="P231" s="4">
        <v>0</v>
      </c>
      <c r="R231" s="4">
        <v>0</v>
      </c>
      <c r="T231" s="4">
        <v>64852</v>
      </c>
      <c r="V231" s="4">
        <v>0</v>
      </c>
      <c r="X231" s="4">
        <v>0</v>
      </c>
      <c r="Z231" s="4">
        <v>100000</v>
      </c>
      <c r="AB231" s="4">
        <v>0</v>
      </c>
      <c r="AD231" s="4">
        <v>0</v>
      </c>
      <c r="AF231" s="77">
        <f t="shared" si="7"/>
        <v>2050930</v>
      </c>
      <c r="AG231" s="47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</row>
    <row r="232" spans="1:64" s="4" customFormat="1">
      <c r="B232" s="4" t="s">
        <v>608</v>
      </c>
      <c r="D232" s="4" t="s">
        <v>156</v>
      </c>
      <c r="E232" s="3"/>
      <c r="F232" s="1">
        <v>3393</v>
      </c>
      <c r="H232" s="1">
        <v>26806</v>
      </c>
      <c r="J232" s="1">
        <v>179883</v>
      </c>
      <c r="L232" s="1">
        <v>118820</v>
      </c>
      <c r="N232" s="1">
        <v>542532</v>
      </c>
      <c r="P232" s="4">
        <v>0</v>
      </c>
      <c r="R232" s="4">
        <v>0</v>
      </c>
      <c r="T232" s="1">
        <v>52480</v>
      </c>
      <c r="V232" s="4">
        <v>0</v>
      </c>
      <c r="X232" s="4">
        <v>0</v>
      </c>
      <c r="Z232" s="4">
        <v>0</v>
      </c>
      <c r="AB232" s="4">
        <v>0</v>
      </c>
      <c r="AD232" s="4">
        <v>0</v>
      </c>
      <c r="AF232" s="77">
        <f t="shared" si="7"/>
        <v>923914</v>
      </c>
      <c r="AG232" s="47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</row>
    <row r="233" spans="1:64" s="4" customFormat="1">
      <c r="A233" s="4">
        <v>55</v>
      </c>
      <c r="B233" s="4" t="s">
        <v>438</v>
      </c>
      <c r="D233" s="4" t="s">
        <v>17</v>
      </c>
      <c r="F233" s="4">
        <v>0</v>
      </c>
      <c r="H233" s="4">
        <v>4421747</v>
      </c>
      <c r="J233" s="4">
        <v>0</v>
      </c>
      <c r="L233" s="4">
        <v>0</v>
      </c>
      <c r="N233" s="4">
        <v>0</v>
      </c>
      <c r="P233" s="4">
        <v>0</v>
      </c>
      <c r="R233" s="4">
        <v>0</v>
      </c>
      <c r="T233" s="4">
        <v>32687</v>
      </c>
      <c r="V233" s="4">
        <v>0</v>
      </c>
      <c r="X233" s="4">
        <v>0</v>
      </c>
      <c r="Z233" s="4">
        <v>221148</v>
      </c>
      <c r="AB233" s="4">
        <v>0</v>
      </c>
      <c r="AD233" s="4">
        <v>0</v>
      </c>
      <c r="AF233" s="77">
        <f t="shared" si="7"/>
        <v>4675582</v>
      </c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</row>
    <row r="234" spans="1:64">
      <c r="A234" s="4">
        <v>202</v>
      </c>
      <c r="B234" s="3" t="s">
        <v>21</v>
      </c>
      <c r="D234" s="3" t="s">
        <v>22</v>
      </c>
      <c r="F234" s="4">
        <v>0</v>
      </c>
      <c r="G234" s="4"/>
      <c r="H234" s="4">
        <v>2470705</v>
      </c>
      <c r="I234" s="4"/>
      <c r="J234" s="4">
        <v>0</v>
      </c>
      <c r="K234" s="4"/>
      <c r="L234" s="4">
        <v>0</v>
      </c>
      <c r="M234" s="4"/>
      <c r="N234" s="4">
        <v>0</v>
      </c>
      <c r="O234" s="4"/>
      <c r="P234" s="4">
        <v>0</v>
      </c>
      <c r="Q234" s="4"/>
      <c r="R234" s="3">
        <v>0</v>
      </c>
      <c r="S234" s="4"/>
      <c r="T234" s="4">
        <v>182487</v>
      </c>
      <c r="U234" s="4"/>
      <c r="V234" s="4">
        <v>0</v>
      </c>
      <c r="W234" s="4"/>
      <c r="X234" s="4">
        <v>0</v>
      </c>
      <c r="Y234" s="4"/>
      <c r="Z234" s="4">
        <v>0</v>
      </c>
      <c r="AA234" s="4"/>
      <c r="AB234" s="4">
        <v>0</v>
      </c>
      <c r="AC234" s="4"/>
      <c r="AD234" s="4">
        <v>0</v>
      </c>
      <c r="AE234" s="4"/>
      <c r="AF234" s="77">
        <f t="shared" si="7"/>
        <v>2653192</v>
      </c>
    </row>
    <row r="235" spans="1:64">
      <c r="A235" s="4">
        <v>196</v>
      </c>
      <c r="B235" s="3" t="s">
        <v>596</v>
      </c>
      <c r="D235" s="3" t="s">
        <v>100</v>
      </c>
      <c r="F235" s="4">
        <v>3498</v>
      </c>
      <c r="G235" s="4"/>
      <c r="H235" s="4">
        <f>9384+1040010</f>
        <v>1049394</v>
      </c>
      <c r="I235" s="4"/>
      <c r="J235" s="4">
        <v>263052</v>
      </c>
      <c r="K235" s="4"/>
      <c r="L235" s="4">
        <v>185758</v>
      </c>
      <c r="M235" s="4"/>
      <c r="N235" s="4">
        <v>42514</v>
      </c>
      <c r="O235" s="4"/>
      <c r="P235" s="4">
        <v>0</v>
      </c>
      <c r="Q235" s="4"/>
      <c r="R235" s="4">
        <v>5968</v>
      </c>
      <c r="S235" s="4"/>
      <c r="T235" s="4">
        <v>90143</v>
      </c>
      <c r="U235" s="4"/>
      <c r="V235" s="4">
        <v>0</v>
      </c>
      <c r="W235" s="4"/>
      <c r="X235" s="4">
        <v>0</v>
      </c>
      <c r="Y235" s="4"/>
      <c r="Z235" s="4">
        <v>0</v>
      </c>
      <c r="AA235" s="4"/>
      <c r="AB235" s="4">
        <v>0</v>
      </c>
      <c r="AC235" s="4"/>
      <c r="AD235" s="4">
        <v>0</v>
      </c>
      <c r="AE235" s="4"/>
      <c r="AF235" s="77">
        <f t="shared" si="7"/>
        <v>1640327</v>
      </c>
    </row>
    <row r="236" spans="1:64">
      <c r="A236" s="4"/>
      <c r="B236" s="4" t="s">
        <v>609</v>
      </c>
      <c r="C236" s="15"/>
      <c r="D236" s="15" t="s">
        <v>569</v>
      </c>
      <c r="F236" s="4">
        <v>1909782</v>
      </c>
      <c r="G236" s="4"/>
      <c r="H236" s="4">
        <v>24089250</v>
      </c>
      <c r="I236" s="4"/>
      <c r="J236" s="4">
        <v>12632747</v>
      </c>
      <c r="K236" s="4"/>
      <c r="L236" s="4">
        <v>8872594</v>
      </c>
      <c r="M236" s="4"/>
      <c r="N236" s="4">
        <v>4341360</v>
      </c>
      <c r="O236" s="4"/>
      <c r="P236" s="4">
        <v>0</v>
      </c>
      <c r="Q236" s="4"/>
      <c r="R236" s="4">
        <v>0</v>
      </c>
      <c r="S236" s="4"/>
      <c r="T236" s="4">
        <v>0</v>
      </c>
      <c r="U236" s="4"/>
      <c r="V236" s="4">
        <v>0</v>
      </c>
      <c r="W236" s="4"/>
      <c r="X236" s="4">
        <v>0</v>
      </c>
      <c r="Y236" s="4"/>
      <c r="Z236" s="4">
        <v>2500000</v>
      </c>
      <c r="AA236" s="4"/>
      <c r="AB236" s="4">
        <v>0</v>
      </c>
      <c r="AC236" s="4"/>
      <c r="AD236" s="4">
        <v>0</v>
      </c>
      <c r="AE236" s="4"/>
      <c r="AF236" s="77">
        <f t="shared" si="7"/>
        <v>54345733</v>
      </c>
    </row>
    <row r="237" spans="1:64" s="4" customFormat="1">
      <c r="A237" s="4">
        <v>102</v>
      </c>
      <c r="B237" s="35" t="s">
        <v>236</v>
      </c>
      <c r="C237" s="35"/>
      <c r="D237" s="35" t="s">
        <v>478</v>
      </c>
      <c r="E237" s="35"/>
      <c r="F237" s="6">
        <v>0</v>
      </c>
      <c r="G237" s="6"/>
      <c r="H237" s="6">
        <v>588714.68000000005</v>
      </c>
      <c r="I237" s="6"/>
      <c r="J237" s="6">
        <v>0</v>
      </c>
      <c r="K237" s="6"/>
      <c r="L237" s="6">
        <v>0</v>
      </c>
      <c r="M237" s="6"/>
      <c r="N237" s="6">
        <v>0</v>
      </c>
      <c r="O237" s="6"/>
      <c r="P237" s="6">
        <v>0</v>
      </c>
      <c r="Q237" s="6"/>
      <c r="R237" s="6">
        <v>0</v>
      </c>
      <c r="S237" s="6"/>
      <c r="T237" s="6">
        <v>23061.439999999999</v>
      </c>
      <c r="U237" s="6"/>
      <c r="V237" s="6">
        <v>7075.73</v>
      </c>
      <c r="W237" s="6"/>
      <c r="X237" s="6">
        <v>805.39</v>
      </c>
      <c r="Y237" s="6"/>
      <c r="Z237" s="6">
        <v>40000</v>
      </c>
      <c r="AA237" s="6"/>
      <c r="AB237" s="6">
        <v>0</v>
      </c>
      <c r="AC237" s="6"/>
      <c r="AD237" s="6">
        <v>0</v>
      </c>
      <c r="AE237" s="6"/>
      <c r="AF237" s="73">
        <f t="shared" si="7"/>
        <v>659657.24</v>
      </c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</row>
    <row r="238" spans="1:64" s="4" customFormat="1">
      <c r="A238" s="39">
        <v>197.1</v>
      </c>
      <c r="B238" s="3" t="s">
        <v>572</v>
      </c>
      <c r="C238" s="3"/>
      <c r="D238" s="3" t="s">
        <v>573</v>
      </c>
      <c r="E238" s="3"/>
      <c r="F238" s="6">
        <v>0</v>
      </c>
      <c r="G238" s="6"/>
      <c r="H238" s="6">
        <v>991331.63</v>
      </c>
      <c r="I238" s="6"/>
      <c r="J238" s="6">
        <v>0</v>
      </c>
      <c r="K238" s="6"/>
      <c r="L238" s="6">
        <v>0</v>
      </c>
      <c r="M238" s="6"/>
      <c r="N238" s="6">
        <v>0</v>
      </c>
      <c r="O238" s="6"/>
      <c r="P238" s="6">
        <v>0</v>
      </c>
      <c r="Q238" s="6"/>
      <c r="R238" s="6">
        <v>0</v>
      </c>
      <c r="S238" s="6"/>
      <c r="T238" s="6">
        <v>47472.33</v>
      </c>
      <c r="U238" s="6"/>
      <c r="V238" s="6">
        <v>0</v>
      </c>
      <c r="W238" s="6"/>
      <c r="X238" s="6">
        <v>0</v>
      </c>
      <c r="Y238" s="6"/>
      <c r="Z238" s="6">
        <v>0</v>
      </c>
      <c r="AA238" s="6"/>
      <c r="AB238" s="6">
        <v>0</v>
      </c>
      <c r="AC238" s="6"/>
      <c r="AD238" s="6">
        <v>0</v>
      </c>
      <c r="AE238" s="6"/>
      <c r="AF238" s="73">
        <f t="shared" si="7"/>
        <v>1038803.96</v>
      </c>
      <c r="AG238" s="47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</row>
    <row r="239" spans="1:64" s="4" customFormat="1">
      <c r="A239" s="4">
        <v>193</v>
      </c>
      <c r="B239" s="3" t="s">
        <v>237</v>
      </c>
      <c r="C239" s="3"/>
      <c r="D239" s="3" t="s">
        <v>171</v>
      </c>
      <c r="E239" s="3"/>
      <c r="F239" s="6">
        <v>0</v>
      </c>
      <c r="G239" s="6"/>
      <c r="H239" s="6">
        <v>1417638.68</v>
      </c>
      <c r="I239" s="6"/>
      <c r="J239" s="6">
        <v>0</v>
      </c>
      <c r="K239" s="6"/>
      <c r="L239" s="6">
        <v>0</v>
      </c>
      <c r="M239" s="6"/>
      <c r="N239" s="6">
        <v>0</v>
      </c>
      <c r="O239" s="6"/>
      <c r="P239" s="6">
        <v>0</v>
      </c>
      <c r="Q239" s="6"/>
      <c r="R239" s="6">
        <v>0</v>
      </c>
      <c r="S239" s="6"/>
      <c r="T239" s="6">
        <v>0</v>
      </c>
      <c r="U239" s="6"/>
      <c r="V239" s="6">
        <v>0</v>
      </c>
      <c r="W239" s="6"/>
      <c r="X239" s="6">
        <v>0</v>
      </c>
      <c r="Y239" s="6"/>
      <c r="Z239" s="6">
        <v>0</v>
      </c>
      <c r="AA239" s="6"/>
      <c r="AB239" s="6">
        <v>0</v>
      </c>
      <c r="AC239" s="6"/>
      <c r="AD239" s="6">
        <v>87.91</v>
      </c>
      <c r="AE239" s="6"/>
      <c r="AF239" s="73">
        <f t="shared" si="7"/>
        <v>1417726.5899999999</v>
      </c>
      <c r="AG239" s="47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</row>
    <row r="240" spans="1:64" s="4" customFormat="1">
      <c r="A240" s="4">
        <v>153</v>
      </c>
      <c r="B240" s="3" t="s">
        <v>238</v>
      </c>
      <c r="C240" s="3"/>
      <c r="D240" s="3" t="s">
        <v>213</v>
      </c>
      <c r="E240" s="3"/>
      <c r="F240" s="4">
        <v>260075</v>
      </c>
      <c r="H240" s="4">
        <v>6175028</v>
      </c>
      <c r="J240" s="4">
        <v>1932823</v>
      </c>
      <c r="L240" s="4">
        <v>1782228</v>
      </c>
      <c r="N240" s="4">
        <v>1582682</v>
      </c>
      <c r="P240" s="4">
        <v>0</v>
      </c>
      <c r="R240" s="4">
        <v>0</v>
      </c>
      <c r="T240" s="4">
        <v>56788</v>
      </c>
      <c r="V240" s="4">
        <v>0</v>
      </c>
      <c r="X240" s="4">
        <v>0</v>
      </c>
      <c r="Z240" s="4">
        <v>6450000</v>
      </c>
      <c r="AB240" s="4">
        <v>0</v>
      </c>
      <c r="AD240" s="4">
        <v>0</v>
      </c>
      <c r="AF240" s="77">
        <f t="shared" si="7"/>
        <v>18239624</v>
      </c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</row>
    <row r="241" spans="1:64" s="4" customFormat="1">
      <c r="A241" s="4">
        <v>238</v>
      </c>
      <c r="B241" s="3" t="s">
        <v>239</v>
      </c>
      <c r="C241" s="3"/>
      <c r="D241" s="3" t="s">
        <v>191</v>
      </c>
      <c r="E241" s="3"/>
      <c r="F241" s="4">
        <v>63907.199999999997</v>
      </c>
      <c r="H241" s="4">
        <f>18744.92+112799+45145</f>
        <v>176688.91999999998</v>
      </c>
      <c r="J241" s="4">
        <v>0</v>
      </c>
      <c r="L241" s="4">
        <v>0</v>
      </c>
      <c r="N241" s="4">
        <v>0</v>
      </c>
      <c r="P241" s="4">
        <v>10639.96</v>
      </c>
      <c r="R241" s="4">
        <v>10</v>
      </c>
      <c r="T241" s="4">
        <v>3543.24</v>
      </c>
      <c r="V241" s="4">
        <v>42052.36</v>
      </c>
      <c r="X241" s="4">
        <v>0</v>
      </c>
      <c r="Z241" s="4">
        <v>0</v>
      </c>
      <c r="AB241" s="4">
        <v>0</v>
      </c>
      <c r="AD241" s="4">
        <v>0</v>
      </c>
      <c r="AF241" s="77">
        <f t="shared" si="7"/>
        <v>296841.68</v>
      </c>
      <c r="AG241" s="47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</row>
    <row r="242" spans="1:64" s="4" customFormat="1">
      <c r="A242" s="4">
        <v>100</v>
      </c>
      <c r="B242" s="3" t="s">
        <v>312</v>
      </c>
      <c r="C242" s="3"/>
      <c r="D242" s="3" t="s">
        <v>59</v>
      </c>
      <c r="E242" s="3"/>
      <c r="F242" s="6">
        <v>0</v>
      </c>
      <c r="G242" s="6"/>
      <c r="H242" s="6">
        <v>0</v>
      </c>
      <c r="I242" s="6"/>
      <c r="J242" s="6">
        <v>0</v>
      </c>
      <c r="K242" s="6"/>
      <c r="L242" s="6">
        <v>0</v>
      </c>
      <c r="M242" s="6"/>
      <c r="N242" s="6">
        <v>0</v>
      </c>
      <c r="O242" s="6"/>
      <c r="P242" s="6">
        <v>0</v>
      </c>
      <c r="Q242" s="6"/>
      <c r="R242" s="6">
        <v>0</v>
      </c>
      <c r="S242" s="6"/>
      <c r="T242" s="6">
        <v>1083.67</v>
      </c>
      <c r="U242" s="6"/>
      <c r="V242" s="6">
        <v>0</v>
      </c>
      <c r="W242" s="6"/>
      <c r="X242" s="6">
        <v>0</v>
      </c>
      <c r="Y242" s="6"/>
      <c r="Z242" s="6">
        <v>0</v>
      </c>
      <c r="AA242" s="6"/>
      <c r="AB242" s="6">
        <v>0</v>
      </c>
      <c r="AC242" s="6"/>
      <c r="AD242" s="6">
        <v>0</v>
      </c>
      <c r="AE242" s="6"/>
      <c r="AF242" s="73">
        <f t="shared" si="7"/>
        <v>1083.67</v>
      </c>
      <c r="AG242" s="47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</row>
    <row r="243" spans="1:64" s="4" customFormat="1">
      <c r="A243" s="4">
        <v>68</v>
      </c>
      <c r="B243" s="3" t="s">
        <v>240</v>
      </c>
      <c r="C243" s="3"/>
      <c r="D243" s="3" t="s">
        <v>165</v>
      </c>
      <c r="E243" s="3"/>
      <c r="F243" s="6">
        <v>0</v>
      </c>
      <c r="G243" s="6"/>
      <c r="H243" s="6">
        <v>553871</v>
      </c>
      <c r="I243" s="6"/>
      <c r="J243" s="6">
        <v>77568.899999999994</v>
      </c>
      <c r="K243" s="6"/>
      <c r="L243" s="6">
        <v>140607.53</v>
      </c>
      <c r="M243" s="6"/>
      <c r="N243" s="6">
        <v>292325.25</v>
      </c>
      <c r="O243" s="6"/>
      <c r="P243" s="6">
        <v>0</v>
      </c>
      <c r="Q243" s="6"/>
      <c r="R243" s="6">
        <v>0</v>
      </c>
      <c r="S243" s="6"/>
      <c r="T243" s="6">
        <v>2735.32</v>
      </c>
      <c r="U243" s="6"/>
      <c r="V243" s="6">
        <v>0</v>
      </c>
      <c r="W243" s="6"/>
      <c r="X243" s="6">
        <v>0</v>
      </c>
      <c r="Y243" s="6"/>
      <c r="Z243" s="6">
        <v>0</v>
      </c>
      <c r="AA243" s="6"/>
      <c r="AB243" s="6">
        <v>0</v>
      </c>
      <c r="AC243" s="6"/>
      <c r="AD243" s="6">
        <v>50.74</v>
      </c>
      <c r="AE243" s="6"/>
      <c r="AF243" s="73">
        <f t="shared" si="7"/>
        <v>1067158.7400000002</v>
      </c>
      <c r="AG243" s="47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</row>
    <row r="244" spans="1:64" s="4" customFormat="1">
      <c r="A244" s="4">
        <v>15</v>
      </c>
      <c r="B244" s="35" t="s">
        <v>241</v>
      </c>
      <c r="C244" s="35"/>
      <c r="D244" s="35" t="s">
        <v>464</v>
      </c>
      <c r="E244" s="35"/>
      <c r="F244" s="6">
        <v>0</v>
      </c>
      <c r="G244" s="6"/>
      <c r="H244" s="6">
        <v>143166.35</v>
      </c>
      <c r="I244" s="6"/>
      <c r="J244" s="6">
        <v>0</v>
      </c>
      <c r="K244" s="6"/>
      <c r="L244" s="6">
        <v>0</v>
      </c>
      <c r="M244" s="6"/>
      <c r="N244" s="6">
        <v>0</v>
      </c>
      <c r="O244" s="6"/>
      <c r="P244" s="6">
        <v>0</v>
      </c>
      <c r="Q244" s="6"/>
      <c r="R244" s="6">
        <v>0</v>
      </c>
      <c r="S244" s="6"/>
      <c r="T244" s="6">
        <v>0</v>
      </c>
      <c r="U244" s="6"/>
      <c r="V244" s="6">
        <v>0</v>
      </c>
      <c r="W244" s="6"/>
      <c r="X244" s="6">
        <v>0</v>
      </c>
      <c r="Y244" s="6"/>
      <c r="Z244" s="6">
        <v>0</v>
      </c>
      <c r="AA244" s="6"/>
      <c r="AB244" s="6">
        <v>0</v>
      </c>
      <c r="AC244" s="6"/>
      <c r="AD244" s="6">
        <v>3901.78</v>
      </c>
      <c r="AE244" s="6"/>
      <c r="AF244" s="73">
        <f t="shared" si="7"/>
        <v>147068.13</v>
      </c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</row>
    <row r="245" spans="1:64" s="4" customFormat="1">
      <c r="A245" s="4">
        <v>161</v>
      </c>
      <c r="B245" s="35" t="s">
        <v>557</v>
      </c>
      <c r="C245" s="35"/>
      <c r="D245" s="35" t="s">
        <v>486</v>
      </c>
      <c r="E245" s="35"/>
      <c r="F245" s="6">
        <v>0</v>
      </c>
      <c r="G245" s="6"/>
      <c r="H245" s="6">
        <v>207304</v>
      </c>
      <c r="I245" s="6"/>
      <c r="J245" s="6">
        <v>0</v>
      </c>
      <c r="K245" s="6"/>
      <c r="L245" s="6">
        <v>0</v>
      </c>
      <c r="M245" s="6"/>
      <c r="N245" s="6">
        <v>0</v>
      </c>
      <c r="O245" s="6"/>
      <c r="P245" s="6">
        <v>0</v>
      </c>
      <c r="Q245" s="6"/>
      <c r="R245" s="6">
        <v>0</v>
      </c>
      <c r="S245" s="6"/>
      <c r="T245" s="6">
        <v>3029.4</v>
      </c>
      <c r="U245" s="6"/>
      <c r="V245" s="6">
        <v>0</v>
      </c>
      <c r="W245" s="6"/>
      <c r="X245" s="6">
        <v>0</v>
      </c>
      <c r="Y245" s="6"/>
      <c r="Z245" s="6">
        <v>0</v>
      </c>
      <c r="AA245" s="6"/>
      <c r="AB245" s="6">
        <v>10346</v>
      </c>
      <c r="AC245" s="6"/>
      <c r="AD245" s="6">
        <v>0</v>
      </c>
      <c r="AE245" s="6"/>
      <c r="AF245" s="73">
        <f t="shared" si="7"/>
        <v>220679.4</v>
      </c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</row>
    <row r="246" spans="1:64">
      <c r="A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7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4"/>
    </row>
    <row r="247" spans="1:64">
      <c r="A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3" t="s">
        <v>580</v>
      </c>
      <c r="AG247" s="47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4"/>
    </row>
    <row r="248" spans="1:64">
      <c r="B248" s="3" t="s">
        <v>517</v>
      </c>
    </row>
    <row r="249" spans="1:64">
      <c r="B249" s="3" t="s">
        <v>626</v>
      </c>
    </row>
    <row r="250" spans="1:64">
      <c r="B250" s="41" t="s">
        <v>5</v>
      </c>
    </row>
    <row r="251" spans="1:64" s="36" customFormat="1">
      <c r="H251" s="36" t="s">
        <v>6</v>
      </c>
    </row>
    <row r="252" spans="1:64" s="36" customFormat="1">
      <c r="F252" s="36" t="s">
        <v>319</v>
      </c>
      <c r="H252" s="36" t="s">
        <v>548</v>
      </c>
      <c r="J252" s="36" t="s">
        <v>628</v>
      </c>
      <c r="L252" s="36" t="s">
        <v>547</v>
      </c>
      <c r="X252" s="36" t="s">
        <v>326</v>
      </c>
      <c r="AD252" s="36" t="s">
        <v>0</v>
      </c>
    </row>
    <row r="253" spans="1:64" s="36" customFormat="1">
      <c r="F253" s="36" t="s">
        <v>320</v>
      </c>
      <c r="H253" s="36" t="s">
        <v>321</v>
      </c>
      <c r="J253" s="36" t="s">
        <v>629</v>
      </c>
      <c r="L253" s="36" t="s">
        <v>545</v>
      </c>
      <c r="N253" s="36" t="s">
        <v>631</v>
      </c>
      <c r="T253" s="36" t="s">
        <v>28</v>
      </c>
      <c r="V253" s="36" t="s">
        <v>324</v>
      </c>
      <c r="X253" s="36" t="s">
        <v>327</v>
      </c>
      <c r="AD253" s="36" t="s">
        <v>294</v>
      </c>
    </row>
    <row r="254" spans="1:64" s="36" customFormat="1" ht="12" customHeight="1">
      <c r="A254" s="36" t="s">
        <v>567</v>
      </c>
      <c r="B254" s="37" t="s">
        <v>6</v>
      </c>
      <c r="D254" s="37" t="s">
        <v>4</v>
      </c>
      <c r="F254" s="37" t="s">
        <v>27</v>
      </c>
      <c r="H254" s="37" t="s">
        <v>322</v>
      </c>
      <c r="I254" s="44"/>
      <c r="J254" s="45" t="s">
        <v>630</v>
      </c>
      <c r="L254" s="37" t="s">
        <v>546</v>
      </c>
      <c r="M254" s="44"/>
      <c r="N254" s="37" t="s">
        <v>632</v>
      </c>
      <c r="P254" s="37" t="s">
        <v>2</v>
      </c>
      <c r="R254" s="37" t="s">
        <v>0</v>
      </c>
      <c r="T254" s="37" t="s">
        <v>323</v>
      </c>
      <c r="V254" s="37" t="s">
        <v>325</v>
      </c>
      <c r="X254" s="37" t="s">
        <v>328</v>
      </c>
      <c r="Z254" s="37" t="s">
        <v>499</v>
      </c>
      <c r="AB254" s="37" t="s">
        <v>500</v>
      </c>
      <c r="AD254" s="37" t="s">
        <v>329</v>
      </c>
      <c r="AF254" s="45" t="s">
        <v>26</v>
      </c>
    </row>
    <row r="255" spans="1:64" s="7" customFormat="1">
      <c r="A255" s="7">
        <v>56</v>
      </c>
      <c r="B255" s="7" t="s">
        <v>242</v>
      </c>
      <c r="D255" s="7" t="s">
        <v>17</v>
      </c>
      <c r="F255" s="7">
        <v>272454</v>
      </c>
      <c r="H255" s="7">
        <v>1692276</v>
      </c>
      <c r="J255" s="7">
        <v>1045830</v>
      </c>
      <c r="L255" s="7">
        <v>434321</v>
      </c>
      <c r="N255" s="7">
        <v>448427</v>
      </c>
      <c r="P255" s="7">
        <v>0</v>
      </c>
      <c r="R255" s="7">
        <v>0</v>
      </c>
      <c r="T255" s="7">
        <v>0</v>
      </c>
      <c r="V255" s="7">
        <v>0</v>
      </c>
      <c r="X255" s="7">
        <v>0</v>
      </c>
      <c r="Z255" s="7">
        <v>170000</v>
      </c>
      <c r="AB255" s="7">
        <v>0</v>
      </c>
      <c r="AD255" s="7">
        <v>0</v>
      </c>
      <c r="AF255" s="7">
        <f t="shared" ref="AF255:AF286" si="8">SUM(F255:AD255)</f>
        <v>4063308</v>
      </c>
      <c r="AG255" s="46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</row>
    <row r="256" spans="1:64" s="4" customFormat="1">
      <c r="A256" s="4">
        <v>214</v>
      </c>
      <c r="B256" s="3" t="s">
        <v>243</v>
      </c>
      <c r="C256" s="3"/>
      <c r="D256" s="3" t="s">
        <v>23</v>
      </c>
      <c r="E256" s="3"/>
      <c r="F256" s="4">
        <v>216043</v>
      </c>
      <c r="H256" s="4">
        <f>346546+1089355</f>
        <v>1435901</v>
      </c>
      <c r="J256" s="4">
        <v>0</v>
      </c>
      <c r="L256" s="4">
        <v>0</v>
      </c>
      <c r="N256" s="4">
        <v>0</v>
      </c>
      <c r="P256" s="4">
        <v>51924</v>
      </c>
      <c r="R256" s="4">
        <v>5136</v>
      </c>
      <c r="T256" s="4">
        <v>217379</v>
      </c>
      <c r="V256" s="4">
        <v>0</v>
      </c>
      <c r="X256" s="4">
        <v>0</v>
      </c>
      <c r="Z256" s="4">
        <v>336000</v>
      </c>
      <c r="AB256" s="4">
        <v>0</v>
      </c>
      <c r="AD256" s="4">
        <v>0</v>
      </c>
      <c r="AF256" s="77">
        <f t="shared" si="8"/>
        <v>2262383</v>
      </c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</row>
    <row r="257" spans="1:64" s="4" customFormat="1">
      <c r="A257" s="4">
        <v>253</v>
      </c>
      <c r="B257" s="3" t="s">
        <v>244</v>
      </c>
      <c r="C257" s="3"/>
      <c r="D257" s="3" t="s">
        <v>63</v>
      </c>
      <c r="E257" s="3"/>
      <c r="F257" s="4">
        <v>0</v>
      </c>
      <c r="H257" s="4">
        <v>846560</v>
      </c>
      <c r="J257" s="4">
        <v>0</v>
      </c>
      <c r="L257" s="4">
        <v>0</v>
      </c>
      <c r="N257" s="4">
        <v>0</v>
      </c>
      <c r="P257" s="4">
        <v>0</v>
      </c>
      <c r="R257" s="4">
        <v>0</v>
      </c>
      <c r="T257" s="4">
        <v>0</v>
      </c>
      <c r="V257" s="4">
        <v>0</v>
      </c>
      <c r="X257" s="4">
        <v>0</v>
      </c>
      <c r="Z257" s="4">
        <v>0</v>
      </c>
      <c r="AB257" s="4">
        <v>0</v>
      </c>
      <c r="AD257" s="4">
        <v>0</v>
      </c>
      <c r="AF257" s="77">
        <f t="shared" si="8"/>
        <v>846560</v>
      </c>
      <c r="AG257" s="47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</row>
    <row r="258" spans="1:64" s="4" customFormat="1">
      <c r="A258" s="4">
        <v>36</v>
      </c>
      <c r="B258" s="35" t="s">
        <v>245</v>
      </c>
      <c r="C258" s="35"/>
      <c r="D258" s="35" t="s">
        <v>473</v>
      </c>
      <c r="E258" s="35"/>
      <c r="F258" s="76">
        <v>0</v>
      </c>
      <c r="G258" s="76"/>
      <c r="H258" s="76">
        <v>198224.75</v>
      </c>
      <c r="I258" s="76"/>
      <c r="J258" s="76">
        <v>0</v>
      </c>
      <c r="K258" s="76"/>
      <c r="L258" s="76">
        <v>0</v>
      </c>
      <c r="M258" s="76"/>
      <c r="N258" s="76">
        <v>0</v>
      </c>
      <c r="O258" s="76"/>
      <c r="P258" s="76">
        <v>0</v>
      </c>
      <c r="Q258" s="76"/>
      <c r="R258" s="76">
        <v>0</v>
      </c>
      <c r="S258" s="76"/>
      <c r="T258" s="76">
        <v>483.34</v>
      </c>
      <c r="U258" s="76"/>
      <c r="V258" s="76">
        <v>0</v>
      </c>
      <c r="W258" s="76"/>
      <c r="X258" s="76">
        <v>0</v>
      </c>
      <c r="Y258" s="76"/>
      <c r="Z258" s="76">
        <v>0</v>
      </c>
      <c r="AA258" s="76"/>
      <c r="AB258" s="76">
        <v>0</v>
      </c>
      <c r="AC258" s="76"/>
      <c r="AD258" s="76">
        <v>0</v>
      </c>
      <c r="AE258" s="76"/>
      <c r="AF258" s="73">
        <f t="shared" si="8"/>
        <v>198708.09</v>
      </c>
      <c r="AG258" s="47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</row>
    <row r="259" spans="1:64" s="4" customFormat="1">
      <c r="A259" s="4">
        <v>30</v>
      </c>
      <c r="B259" s="35" t="s">
        <v>343</v>
      </c>
      <c r="C259" s="35"/>
      <c r="D259" s="35" t="s">
        <v>471</v>
      </c>
      <c r="E259" s="35"/>
      <c r="F259" s="6">
        <v>0</v>
      </c>
      <c r="G259" s="6"/>
      <c r="H259" s="6">
        <v>326479.87</v>
      </c>
      <c r="I259" s="6"/>
      <c r="J259" s="6">
        <v>0</v>
      </c>
      <c r="K259" s="6"/>
      <c r="L259" s="6">
        <v>0</v>
      </c>
      <c r="M259" s="6"/>
      <c r="N259" s="6">
        <v>0</v>
      </c>
      <c r="O259" s="6"/>
      <c r="P259" s="6">
        <v>0</v>
      </c>
      <c r="Q259" s="6"/>
      <c r="R259" s="6">
        <v>0</v>
      </c>
      <c r="S259" s="6"/>
      <c r="T259" s="6">
        <v>1415.59</v>
      </c>
      <c r="U259" s="6"/>
      <c r="V259" s="6">
        <v>0</v>
      </c>
      <c r="W259" s="6"/>
      <c r="X259" s="6">
        <v>0</v>
      </c>
      <c r="Y259" s="6"/>
      <c r="Z259" s="6">
        <v>20000</v>
      </c>
      <c r="AA259" s="6"/>
      <c r="AB259" s="6">
        <v>0</v>
      </c>
      <c r="AC259" s="6"/>
      <c r="AD259" s="6">
        <v>0</v>
      </c>
      <c r="AE259" s="6"/>
      <c r="AF259" s="73">
        <f t="shared" si="8"/>
        <v>347895.46</v>
      </c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</row>
    <row r="260" spans="1:64" s="4" customFormat="1">
      <c r="A260" s="4">
        <v>43</v>
      </c>
      <c r="B260" s="3" t="s">
        <v>246</v>
      </c>
      <c r="C260" s="3"/>
      <c r="D260" s="3" t="s">
        <v>49</v>
      </c>
      <c r="E260" s="3"/>
      <c r="F260" s="4">
        <v>0</v>
      </c>
      <c r="H260" s="4">
        <v>975499</v>
      </c>
      <c r="J260" s="4">
        <v>0</v>
      </c>
      <c r="L260" s="4">
        <v>0</v>
      </c>
      <c r="N260" s="4">
        <v>0</v>
      </c>
      <c r="P260" s="4">
        <v>0</v>
      </c>
      <c r="R260" s="4">
        <v>0</v>
      </c>
      <c r="T260" s="4">
        <v>0</v>
      </c>
      <c r="V260" s="4">
        <v>0</v>
      </c>
      <c r="X260" s="4">
        <v>0</v>
      </c>
      <c r="Z260" s="4">
        <v>0</v>
      </c>
      <c r="AB260" s="4">
        <v>0</v>
      </c>
      <c r="AD260" s="4">
        <v>0</v>
      </c>
      <c r="AF260" s="77">
        <f t="shared" si="8"/>
        <v>975499</v>
      </c>
      <c r="AG260" s="47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</row>
    <row r="261" spans="1:64" s="4" customFormat="1">
      <c r="A261" s="4">
        <v>244</v>
      </c>
      <c r="B261" s="3" t="s">
        <v>247</v>
      </c>
      <c r="C261" s="3"/>
      <c r="D261" s="3" t="s">
        <v>52</v>
      </c>
      <c r="E261" s="3"/>
      <c r="F261" s="4">
        <v>0</v>
      </c>
      <c r="H261" s="4">
        <v>575824</v>
      </c>
      <c r="J261" s="4">
        <v>77902</v>
      </c>
      <c r="L261" s="4">
        <v>24572</v>
      </c>
      <c r="N261" s="4">
        <v>26840</v>
      </c>
      <c r="P261" s="4">
        <v>0</v>
      </c>
      <c r="R261" s="4">
        <v>0</v>
      </c>
      <c r="T261" s="4">
        <v>15065</v>
      </c>
      <c r="V261" s="4">
        <v>0</v>
      </c>
      <c r="X261" s="4">
        <v>0</v>
      </c>
      <c r="Z261" s="4">
        <v>0</v>
      </c>
      <c r="AB261" s="4">
        <v>0</v>
      </c>
      <c r="AD261" s="4">
        <v>0</v>
      </c>
      <c r="AF261" s="77">
        <f t="shared" si="8"/>
        <v>720203</v>
      </c>
      <c r="AG261" s="47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</row>
    <row r="262" spans="1:64" s="4" customFormat="1">
      <c r="A262" s="4">
        <v>69</v>
      </c>
      <c r="B262" s="3" t="s">
        <v>313</v>
      </c>
      <c r="C262" s="3"/>
      <c r="D262" s="3" t="s">
        <v>165</v>
      </c>
      <c r="E262" s="3"/>
      <c r="F262" s="4">
        <v>0</v>
      </c>
      <c r="H262" s="4">
        <v>2861211</v>
      </c>
      <c r="J262" s="4">
        <v>0</v>
      </c>
      <c r="L262" s="4">
        <v>0</v>
      </c>
      <c r="N262" s="4">
        <v>0</v>
      </c>
      <c r="P262" s="4">
        <v>0</v>
      </c>
      <c r="R262" s="4">
        <v>0</v>
      </c>
      <c r="T262" s="4">
        <v>0</v>
      </c>
      <c r="V262" s="4">
        <v>0</v>
      </c>
      <c r="X262" s="4">
        <v>0</v>
      </c>
      <c r="Z262" s="4">
        <v>170000</v>
      </c>
      <c r="AB262" s="4">
        <v>0</v>
      </c>
      <c r="AD262" s="4">
        <v>0</v>
      </c>
      <c r="AF262" s="77">
        <f t="shared" si="8"/>
        <v>3031211</v>
      </c>
      <c r="AG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</row>
    <row r="263" spans="1:64">
      <c r="A263" s="4">
        <v>177</v>
      </c>
      <c r="B263" s="3" t="s">
        <v>248</v>
      </c>
      <c r="D263" s="3" t="s">
        <v>66</v>
      </c>
      <c r="F263" s="6">
        <v>0</v>
      </c>
      <c r="G263" s="6"/>
      <c r="H263" s="6">
        <v>177246.58</v>
      </c>
      <c r="I263" s="6"/>
      <c r="J263" s="6">
        <v>0</v>
      </c>
      <c r="K263" s="6"/>
      <c r="L263" s="6">
        <v>0</v>
      </c>
      <c r="M263" s="6"/>
      <c r="N263" s="6">
        <v>0</v>
      </c>
      <c r="O263" s="6"/>
      <c r="P263" s="6">
        <v>0</v>
      </c>
      <c r="Q263" s="6"/>
      <c r="R263" s="6">
        <v>0</v>
      </c>
      <c r="S263" s="6"/>
      <c r="T263" s="6">
        <v>0</v>
      </c>
      <c r="U263" s="6"/>
      <c r="V263" s="6">
        <v>0</v>
      </c>
      <c r="W263" s="6"/>
      <c r="X263" s="6">
        <v>0</v>
      </c>
      <c r="Y263" s="6"/>
      <c r="Z263" s="6">
        <v>0</v>
      </c>
      <c r="AA263" s="6"/>
      <c r="AB263" s="6">
        <v>0</v>
      </c>
      <c r="AC263" s="6"/>
      <c r="AD263" s="6">
        <v>194.6</v>
      </c>
      <c r="AE263" s="6"/>
      <c r="AF263" s="73">
        <f t="shared" si="8"/>
        <v>177441.18</v>
      </c>
    </row>
    <row r="264" spans="1:64" s="4" customFormat="1">
      <c r="A264" s="4">
        <v>206</v>
      </c>
      <c r="B264" s="3" t="s">
        <v>249</v>
      </c>
      <c r="C264" s="3"/>
      <c r="D264" s="3" t="s">
        <v>43</v>
      </c>
      <c r="E264" s="3"/>
      <c r="F264" s="6">
        <v>0</v>
      </c>
      <c r="G264" s="6"/>
      <c r="H264" s="6">
        <v>153893.43</v>
      </c>
      <c r="I264" s="6"/>
      <c r="J264" s="6">
        <v>0</v>
      </c>
      <c r="K264" s="6"/>
      <c r="L264" s="6">
        <v>0</v>
      </c>
      <c r="M264" s="6"/>
      <c r="N264" s="6">
        <v>0</v>
      </c>
      <c r="O264" s="6"/>
      <c r="P264" s="6">
        <v>0</v>
      </c>
      <c r="Q264" s="6"/>
      <c r="R264" s="6">
        <v>0</v>
      </c>
      <c r="S264" s="6"/>
      <c r="T264" s="6">
        <v>2649.03</v>
      </c>
      <c r="U264" s="6"/>
      <c r="V264" s="6">
        <v>0</v>
      </c>
      <c r="W264" s="6"/>
      <c r="X264" s="6">
        <v>0</v>
      </c>
      <c r="Y264" s="6"/>
      <c r="Z264" s="6">
        <v>4232.82</v>
      </c>
      <c r="AA264" s="6"/>
      <c r="AB264" s="6">
        <v>1300</v>
      </c>
      <c r="AC264" s="6"/>
      <c r="AD264" s="6">
        <v>2017.32</v>
      </c>
      <c r="AE264" s="6"/>
      <c r="AF264" s="73">
        <f t="shared" si="8"/>
        <v>164092.6</v>
      </c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</row>
    <row r="265" spans="1:64" s="4" customFormat="1">
      <c r="A265" s="4">
        <v>57</v>
      </c>
      <c r="B265" s="3" t="s">
        <v>250</v>
      </c>
      <c r="C265" s="3"/>
      <c r="D265" s="3" t="s">
        <v>17</v>
      </c>
      <c r="E265" s="3"/>
      <c r="F265" s="4">
        <v>620294</v>
      </c>
      <c r="H265" s="4">
        <f>518452+2676750+685831</f>
        <v>3881033</v>
      </c>
      <c r="J265" s="4">
        <v>0</v>
      </c>
      <c r="L265" s="4">
        <v>0</v>
      </c>
      <c r="N265" s="4">
        <v>0</v>
      </c>
      <c r="P265" s="4">
        <v>60506</v>
      </c>
      <c r="R265" s="4">
        <v>20572</v>
      </c>
      <c r="T265" s="4">
        <v>57840</v>
      </c>
      <c r="V265" s="4">
        <v>0</v>
      </c>
      <c r="X265" s="4">
        <v>0</v>
      </c>
      <c r="Z265" s="4">
        <v>55133</v>
      </c>
      <c r="AB265" s="4">
        <v>4000</v>
      </c>
      <c r="AD265" s="4">
        <v>0</v>
      </c>
      <c r="AF265" s="77">
        <f t="shared" si="8"/>
        <v>4699378</v>
      </c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</row>
    <row r="266" spans="1:64" s="4" customFormat="1">
      <c r="A266" s="4">
        <v>118</v>
      </c>
      <c r="B266" s="4" t="s">
        <v>440</v>
      </c>
      <c r="D266" s="4" t="s">
        <v>168</v>
      </c>
      <c r="F266" s="4">
        <v>5702</v>
      </c>
      <c r="H266" s="4">
        <f>484+75</f>
        <v>559</v>
      </c>
      <c r="J266" s="4">
        <v>0</v>
      </c>
      <c r="L266" s="4">
        <v>0</v>
      </c>
      <c r="N266" s="4">
        <v>0</v>
      </c>
      <c r="P266" s="4">
        <v>111</v>
      </c>
      <c r="R266" s="4">
        <v>17102</v>
      </c>
      <c r="T266" s="4">
        <v>0</v>
      </c>
      <c r="V266" s="4">
        <v>0</v>
      </c>
      <c r="X266" s="4">
        <v>0</v>
      </c>
      <c r="Z266" s="4">
        <v>0</v>
      </c>
      <c r="AB266" s="4">
        <v>0</v>
      </c>
      <c r="AD266" s="4">
        <v>0</v>
      </c>
      <c r="AF266" s="77">
        <f t="shared" si="8"/>
        <v>23474</v>
      </c>
      <c r="AG266" s="47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</row>
    <row r="267" spans="1:64" s="4" customFormat="1">
      <c r="A267" s="4">
        <v>79</v>
      </c>
      <c r="B267" s="3" t="s">
        <v>252</v>
      </c>
      <c r="C267" s="3"/>
      <c r="D267" s="3" t="s">
        <v>90</v>
      </c>
      <c r="E267" s="3"/>
      <c r="F267" s="4">
        <v>187791</v>
      </c>
      <c r="H267" s="4">
        <v>1594817</v>
      </c>
      <c r="J267" s="4">
        <v>660604</v>
      </c>
      <c r="L267" s="4">
        <v>958946</v>
      </c>
      <c r="N267" s="4">
        <v>800920</v>
      </c>
      <c r="P267" s="4">
        <v>0</v>
      </c>
      <c r="R267" s="4">
        <v>0</v>
      </c>
      <c r="T267" s="4">
        <v>302162</v>
      </c>
      <c r="V267" s="4">
        <v>0</v>
      </c>
      <c r="X267" s="4">
        <v>0</v>
      </c>
      <c r="Z267" s="4">
        <v>1600000</v>
      </c>
      <c r="AB267" s="4">
        <v>0</v>
      </c>
      <c r="AD267" s="4">
        <v>0</v>
      </c>
      <c r="AF267" s="77">
        <f t="shared" si="8"/>
        <v>6105240</v>
      </c>
      <c r="AG267" s="47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</row>
    <row r="268" spans="1:64" s="4" customFormat="1">
      <c r="A268" s="4">
        <v>22</v>
      </c>
      <c r="B268" s="35" t="s">
        <v>314</v>
      </c>
      <c r="C268" s="35"/>
      <c r="D268" s="35" t="s">
        <v>467</v>
      </c>
      <c r="E268" s="35"/>
      <c r="F268" s="6">
        <v>0</v>
      </c>
      <c r="G268" s="6"/>
      <c r="H268" s="6">
        <v>392981.27</v>
      </c>
      <c r="I268" s="6"/>
      <c r="J268" s="6">
        <v>0</v>
      </c>
      <c r="K268" s="6"/>
      <c r="L268" s="6">
        <v>0</v>
      </c>
      <c r="M268" s="6"/>
      <c r="N268" s="6">
        <v>0</v>
      </c>
      <c r="O268" s="6"/>
      <c r="P268" s="6">
        <v>0</v>
      </c>
      <c r="Q268" s="6"/>
      <c r="R268" s="6">
        <v>0</v>
      </c>
      <c r="S268" s="6"/>
      <c r="T268" s="6">
        <v>2586.08</v>
      </c>
      <c r="U268" s="6"/>
      <c r="V268" s="6">
        <v>0</v>
      </c>
      <c r="W268" s="6"/>
      <c r="X268" s="6">
        <v>0</v>
      </c>
      <c r="Y268" s="6"/>
      <c r="Z268" s="6">
        <v>0</v>
      </c>
      <c r="AA268" s="6"/>
      <c r="AB268" s="6">
        <v>0</v>
      </c>
      <c r="AC268" s="6"/>
      <c r="AD268" s="6">
        <v>0</v>
      </c>
      <c r="AE268" s="6"/>
      <c r="AF268" s="73">
        <f t="shared" si="8"/>
        <v>395567.35000000003</v>
      </c>
      <c r="AG268" s="47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</row>
    <row r="269" spans="1:64" s="4" customFormat="1">
      <c r="A269" s="4">
        <v>18</v>
      </c>
      <c r="B269" s="35" t="s">
        <v>340</v>
      </c>
      <c r="C269" s="35"/>
      <c r="D269" s="35" t="s">
        <v>466</v>
      </c>
      <c r="E269" s="35"/>
      <c r="F269" s="6">
        <v>0</v>
      </c>
      <c r="G269" s="6"/>
      <c r="H269" s="6">
        <v>521077</v>
      </c>
      <c r="I269" s="6"/>
      <c r="J269" s="6">
        <v>0</v>
      </c>
      <c r="K269" s="6"/>
      <c r="L269" s="6">
        <v>0</v>
      </c>
      <c r="M269" s="6"/>
      <c r="N269" s="6">
        <v>0</v>
      </c>
      <c r="O269" s="6"/>
      <c r="P269" s="6">
        <v>0</v>
      </c>
      <c r="Q269" s="6"/>
      <c r="R269" s="6">
        <v>0</v>
      </c>
      <c r="S269" s="6"/>
      <c r="T269" s="6">
        <v>26659.35</v>
      </c>
      <c r="U269" s="6"/>
      <c r="V269" s="6">
        <v>13366</v>
      </c>
      <c r="W269" s="6"/>
      <c r="X269" s="6">
        <v>4877.87</v>
      </c>
      <c r="Y269" s="6"/>
      <c r="Z269" s="6">
        <v>0</v>
      </c>
      <c r="AA269" s="6"/>
      <c r="AB269" s="6">
        <v>12000</v>
      </c>
      <c r="AC269" s="6"/>
      <c r="AD269" s="6">
        <v>0</v>
      </c>
      <c r="AE269" s="6"/>
      <c r="AF269" s="73">
        <f t="shared" si="8"/>
        <v>577980.22</v>
      </c>
      <c r="AG269" s="47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</row>
    <row r="270" spans="1:64" s="4" customFormat="1">
      <c r="A270" s="4">
        <v>215</v>
      </c>
      <c r="B270" s="3" t="s">
        <v>581</v>
      </c>
      <c r="C270" s="3"/>
      <c r="D270" s="3" t="s">
        <v>23</v>
      </c>
      <c r="E270" s="3"/>
      <c r="F270" s="4">
        <v>554108</v>
      </c>
      <c r="H270" s="4">
        <v>6302047</v>
      </c>
      <c r="J270" s="4">
        <v>1966999</v>
      </c>
      <c r="L270" s="4">
        <v>1274592</v>
      </c>
      <c r="N270" s="4">
        <v>1416669</v>
      </c>
      <c r="P270" s="4">
        <v>0</v>
      </c>
      <c r="R270" s="4">
        <v>0</v>
      </c>
      <c r="T270" s="4">
        <v>212468</v>
      </c>
      <c r="V270" s="4">
        <v>0</v>
      </c>
      <c r="X270" s="4">
        <v>0</v>
      </c>
      <c r="Z270" s="4">
        <v>500000</v>
      </c>
      <c r="AB270" s="4">
        <v>0</v>
      </c>
      <c r="AD270" s="4">
        <v>0</v>
      </c>
      <c r="AF270" s="77">
        <f t="shared" si="8"/>
        <v>12226883</v>
      </c>
      <c r="AG270" s="47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</row>
    <row r="271" spans="1:64" s="4" customFormat="1">
      <c r="A271" s="4">
        <v>120</v>
      </c>
      <c r="B271" s="3" t="s">
        <v>254</v>
      </c>
      <c r="C271" s="3"/>
      <c r="D271" s="3" t="s">
        <v>255</v>
      </c>
      <c r="E271" s="3"/>
      <c r="F271" s="6">
        <v>0</v>
      </c>
      <c r="G271" s="6"/>
      <c r="H271" s="6">
        <v>2721937.2</v>
      </c>
      <c r="I271" s="6"/>
      <c r="J271" s="6">
        <v>0</v>
      </c>
      <c r="K271" s="6"/>
      <c r="L271" s="6">
        <v>0</v>
      </c>
      <c r="M271" s="6"/>
      <c r="N271" s="6">
        <v>0</v>
      </c>
      <c r="O271" s="6"/>
      <c r="P271" s="6">
        <v>0</v>
      </c>
      <c r="Q271" s="6"/>
      <c r="R271" s="6">
        <v>0</v>
      </c>
      <c r="S271" s="6"/>
      <c r="T271" s="6">
        <v>80527.92</v>
      </c>
      <c r="U271" s="6"/>
      <c r="V271" s="6">
        <v>0</v>
      </c>
      <c r="W271" s="6"/>
      <c r="X271" s="6">
        <v>0</v>
      </c>
      <c r="Y271" s="6"/>
      <c r="Z271" s="6">
        <v>120000</v>
      </c>
      <c r="AA271" s="6"/>
      <c r="AB271" s="6">
        <v>0</v>
      </c>
      <c r="AC271" s="6"/>
      <c r="AD271" s="6">
        <v>4128.6899999999996</v>
      </c>
      <c r="AE271" s="6"/>
      <c r="AF271" s="73">
        <f t="shared" si="8"/>
        <v>2926593.81</v>
      </c>
      <c r="AG271" s="47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</row>
    <row r="272" spans="1:64" s="4" customFormat="1">
      <c r="A272" s="4">
        <v>220</v>
      </c>
      <c r="B272" s="3" t="s">
        <v>256</v>
      </c>
      <c r="C272" s="3"/>
      <c r="D272" s="3" t="s">
        <v>20</v>
      </c>
      <c r="E272" s="3"/>
      <c r="F272" s="4">
        <v>0</v>
      </c>
      <c r="H272" s="4">
        <v>1033642</v>
      </c>
      <c r="J272" s="4">
        <v>606432</v>
      </c>
      <c r="L272" s="4">
        <v>511040</v>
      </c>
      <c r="N272" s="4">
        <v>274721</v>
      </c>
      <c r="P272" s="4">
        <v>0</v>
      </c>
      <c r="R272" s="4">
        <v>0</v>
      </c>
      <c r="T272" s="4">
        <v>102197</v>
      </c>
      <c r="V272" s="4">
        <v>0</v>
      </c>
      <c r="X272" s="4">
        <v>0</v>
      </c>
      <c r="Z272" s="4">
        <v>240000</v>
      </c>
      <c r="AB272" s="4">
        <v>0</v>
      </c>
      <c r="AD272" s="4">
        <v>0</v>
      </c>
      <c r="AF272" s="77">
        <f t="shared" si="8"/>
        <v>2768032</v>
      </c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</row>
    <row r="273" spans="1:64" s="4" customFormat="1">
      <c r="A273" s="4">
        <v>86</v>
      </c>
      <c r="B273" s="3" t="s">
        <v>257</v>
      </c>
      <c r="C273" s="3"/>
      <c r="D273" s="3" t="s">
        <v>40</v>
      </c>
      <c r="E273" s="3"/>
      <c r="F273" s="6">
        <v>0</v>
      </c>
      <c r="G273" s="6"/>
      <c r="H273" s="6">
        <v>408167.03</v>
      </c>
      <c r="I273" s="6"/>
      <c r="J273" s="6">
        <v>0</v>
      </c>
      <c r="K273" s="6"/>
      <c r="L273" s="6">
        <v>0</v>
      </c>
      <c r="M273" s="6"/>
      <c r="N273" s="6">
        <v>0</v>
      </c>
      <c r="O273" s="6"/>
      <c r="P273" s="6">
        <v>0</v>
      </c>
      <c r="Q273" s="6"/>
      <c r="R273" s="6">
        <v>0</v>
      </c>
      <c r="S273" s="6"/>
      <c r="T273" s="6">
        <v>7714.48</v>
      </c>
      <c r="U273" s="6"/>
      <c r="V273" s="6">
        <v>0</v>
      </c>
      <c r="W273" s="6"/>
      <c r="X273" s="6">
        <v>0</v>
      </c>
      <c r="Y273" s="6"/>
      <c r="Z273" s="6">
        <v>0</v>
      </c>
      <c r="AA273" s="6"/>
      <c r="AB273" s="6">
        <v>0</v>
      </c>
      <c r="AC273" s="6"/>
      <c r="AD273" s="6">
        <v>168.27</v>
      </c>
      <c r="AE273" s="6"/>
      <c r="AF273" s="73">
        <f t="shared" si="8"/>
        <v>416049.78</v>
      </c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</row>
    <row r="274" spans="1:64" s="4" customFormat="1">
      <c r="A274" s="4">
        <v>119</v>
      </c>
      <c r="B274" s="35" t="s">
        <v>258</v>
      </c>
      <c r="C274" s="35"/>
      <c r="D274" s="35" t="s">
        <v>479</v>
      </c>
      <c r="E274" s="35"/>
      <c r="F274" s="6">
        <v>0</v>
      </c>
      <c r="G274" s="6"/>
      <c r="H274" s="6">
        <v>394178.64</v>
      </c>
      <c r="I274" s="6"/>
      <c r="J274" s="6">
        <v>0</v>
      </c>
      <c r="K274" s="6"/>
      <c r="L274" s="6">
        <v>0</v>
      </c>
      <c r="M274" s="6"/>
      <c r="N274" s="6">
        <v>0</v>
      </c>
      <c r="O274" s="6"/>
      <c r="P274" s="6">
        <v>0</v>
      </c>
      <c r="Q274" s="6"/>
      <c r="R274" s="6">
        <v>0</v>
      </c>
      <c r="S274" s="6"/>
      <c r="T274" s="6">
        <v>0</v>
      </c>
      <c r="U274" s="6"/>
      <c r="V274" s="6">
        <v>0</v>
      </c>
      <c r="W274" s="6"/>
      <c r="X274" s="6">
        <v>0</v>
      </c>
      <c r="Y274" s="6"/>
      <c r="Z274" s="6">
        <v>0</v>
      </c>
      <c r="AA274" s="6"/>
      <c r="AB274" s="6">
        <v>0</v>
      </c>
      <c r="AC274" s="6"/>
      <c r="AD274" s="6">
        <v>0</v>
      </c>
      <c r="AE274" s="6"/>
      <c r="AF274" s="73">
        <f t="shared" si="8"/>
        <v>394178.64</v>
      </c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</row>
    <row r="275" spans="1:64" s="4" customFormat="1" hidden="1">
      <c r="A275" s="4">
        <v>221</v>
      </c>
      <c r="B275" s="3" t="s">
        <v>259</v>
      </c>
      <c r="C275" s="3"/>
      <c r="D275" s="3" t="s">
        <v>20</v>
      </c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F275" s="77">
        <f t="shared" si="8"/>
        <v>0</v>
      </c>
    </row>
    <row r="276" spans="1:64" s="7" customFormat="1" hidden="1">
      <c r="A276" s="39">
        <v>92.1</v>
      </c>
      <c r="B276" s="4" t="s">
        <v>568</v>
      </c>
      <c r="C276" s="3"/>
      <c r="D276" s="3" t="s">
        <v>569</v>
      </c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77">
        <f t="shared" si="8"/>
        <v>0</v>
      </c>
      <c r="AG276" s="46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</row>
    <row r="277" spans="1:64" s="4" customFormat="1" hidden="1">
      <c r="A277" s="4">
        <v>71</v>
      </c>
      <c r="B277" s="7" t="s">
        <v>565</v>
      </c>
      <c r="C277" s="7"/>
      <c r="D277" s="7" t="s">
        <v>65</v>
      </c>
      <c r="E277" s="7"/>
      <c r="AF277" s="77">
        <f t="shared" si="8"/>
        <v>0</v>
      </c>
      <c r="AG277" s="47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</row>
    <row r="278" spans="1:64" s="4" customFormat="1">
      <c r="A278" s="4">
        <v>207</v>
      </c>
      <c r="B278" s="3" t="s">
        <v>260</v>
      </c>
      <c r="C278" s="3"/>
      <c r="D278" s="3" t="s">
        <v>43</v>
      </c>
      <c r="E278" s="3"/>
      <c r="F278" s="6">
        <v>0</v>
      </c>
      <c r="G278" s="6"/>
      <c r="H278" s="6">
        <v>1340782.6299999999</v>
      </c>
      <c r="I278" s="6"/>
      <c r="J278" s="6">
        <v>0</v>
      </c>
      <c r="K278" s="6"/>
      <c r="L278" s="6">
        <v>0</v>
      </c>
      <c r="M278" s="6"/>
      <c r="N278" s="6">
        <v>0</v>
      </c>
      <c r="O278" s="6"/>
      <c r="P278" s="6">
        <v>0</v>
      </c>
      <c r="Q278" s="6"/>
      <c r="R278" s="6">
        <v>0</v>
      </c>
      <c r="S278" s="6"/>
      <c r="T278" s="6">
        <v>35619.89</v>
      </c>
      <c r="U278" s="6"/>
      <c r="V278" s="6">
        <v>0</v>
      </c>
      <c r="W278" s="6"/>
      <c r="X278" s="6">
        <v>0</v>
      </c>
      <c r="Y278" s="6"/>
      <c r="Z278" s="6">
        <v>0</v>
      </c>
      <c r="AA278" s="6"/>
      <c r="AB278" s="6">
        <v>0</v>
      </c>
      <c r="AC278" s="6"/>
      <c r="AD278" s="6">
        <v>65.08</v>
      </c>
      <c r="AE278" s="6"/>
      <c r="AF278" s="73">
        <f t="shared" si="8"/>
        <v>1376467.5999999999</v>
      </c>
      <c r="AG278" s="47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</row>
    <row r="279" spans="1:64" s="4" customFormat="1">
      <c r="A279" s="4">
        <v>166</v>
      </c>
      <c r="B279" s="3" t="s">
        <v>441</v>
      </c>
      <c r="C279" s="3"/>
      <c r="D279" s="3" t="s">
        <v>51</v>
      </c>
      <c r="E279" s="3"/>
      <c r="F279" s="4">
        <v>9223</v>
      </c>
      <c r="H279" s="4">
        <v>475780</v>
      </c>
      <c r="J279" s="4">
        <v>75499</v>
      </c>
      <c r="L279" s="4">
        <v>56760</v>
      </c>
      <c r="N279" s="4">
        <v>42864</v>
      </c>
      <c r="P279" s="4">
        <v>0</v>
      </c>
      <c r="R279" s="4">
        <v>0</v>
      </c>
      <c r="T279" s="4">
        <v>3153</v>
      </c>
      <c r="V279" s="4">
        <v>0</v>
      </c>
      <c r="X279" s="4">
        <v>0</v>
      </c>
      <c r="Z279" s="4">
        <v>60000</v>
      </c>
      <c r="AB279" s="4">
        <v>0</v>
      </c>
      <c r="AD279" s="4">
        <v>0</v>
      </c>
      <c r="AF279" s="77">
        <f t="shared" si="8"/>
        <v>723279</v>
      </c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</row>
    <row r="280" spans="1:64" s="4" customFormat="1">
      <c r="A280" s="4">
        <v>147</v>
      </c>
      <c r="B280" s="3" t="s">
        <v>597</v>
      </c>
      <c r="C280" s="3"/>
      <c r="D280" s="3" t="s">
        <v>262</v>
      </c>
      <c r="E280" s="3"/>
      <c r="F280" s="4">
        <v>5144953</v>
      </c>
      <c r="H280" s="4">
        <v>4072674</v>
      </c>
      <c r="J280" s="4">
        <v>0</v>
      </c>
      <c r="L280" s="4">
        <v>0</v>
      </c>
      <c r="N280" s="4">
        <v>0</v>
      </c>
      <c r="P280" s="4">
        <v>0</v>
      </c>
      <c r="R280" s="4">
        <v>20439239</v>
      </c>
      <c r="T280" s="4">
        <v>2150355</v>
      </c>
      <c r="V280" s="4">
        <v>10953</v>
      </c>
      <c r="X280" s="4">
        <v>4397</v>
      </c>
      <c r="Z280" s="4">
        <v>2000000</v>
      </c>
      <c r="AB280" s="4">
        <v>0</v>
      </c>
      <c r="AD280" s="4">
        <v>0</v>
      </c>
      <c r="AF280" s="77">
        <f t="shared" si="8"/>
        <v>33822571</v>
      </c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</row>
    <row r="281" spans="1:64" s="4" customFormat="1">
      <c r="A281" s="4">
        <v>167</v>
      </c>
      <c r="B281" s="3" t="s">
        <v>598</v>
      </c>
      <c r="C281" s="3"/>
      <c r="D281" s="3" t="s">
        <v>51</v>
      </c>
      <c r="E281" s="3"/>
      <c r="F281" s="4">
        <v>66405</v>
      </c>
      <c r="H281" s="4">
        <v>544407</v>
      </c>
      <c r="J281" s="4">
        <v>274086</v>
      </c>
      <c r="L281" s="4">
        <v>160875</v>
      </c>
      <c r="N281" s="4">
        <v>546354</v>
      </c>
      <c r="P281" s="4">
        <v>0</v>
      </c>
      <c r="R281" s="4">
        <v>0</v>
      </c>
      <c r="T281" s="4">
        <v>135693</v>
      </c>
      <c r="V281" s="4">
        <v>0</v>
      </c>
      <c r="X281" s="4">
        <v>0</v>
      </c>
      <c r="Z281" s="4">
        <v>104000</v>
      </c>
      <c r="AB281" s="4">
        <v>0</v>
      </c>
      <c r="AD281" s="4">
        <v>0</v>
      </c>
      <c r="AF281" s="77">
        <f t="shared" si="8"/>
        <v>1831820</v>
      </c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</row>
    <row r="282" spans="1:64" s="4" customFormat="1">
      <c r="A282" s="4">
        <v>236</v>
      </c>
      <c r="B282" s="3" t="s">
        <v>599</v>
      </c>
      <c r="C282" s="3"/>
      <c r="D282" s="3" t="s">
        <v>24</v>
      </c>
      <c r="E282" s="3"/>
      <c r="F282" s="4">
        <v>10741</v>
      </c>
      <c r="H282" s="4">
        <v>1036474</v>
      </c>
      <c r="J282" s="4">
        <v>253808</v>
      </c>
      <c r="L282" s="4">
        <v>127886</v>
      </c>
      <c r="N282" s="4">
        <v>371274</v>
      </c>
      <c r="P282" s="4">
        <v>0</v>
      </c>
      <c r="R282" s="4">
        <v>0</v>
      </c>
      <c r="T282" s="4">
        <v>43938</v>
      </c>
      <c r="V282" s="4">
        <v>0</v>
      </c>
      <c r="X282" s="4">
        <v>0</v>
      </c>
      <c r="Z282" s="4">
        <v>121379</v>
      </c>
      <c r="AB282" s="4">
        <v>6000</v>
      </c>
      <c r="AD282" s="4">
        <v>0</v>
      </c>
      <c r="AF282" s="77">
        <f t="shared" si="8"/>
        <v>1971500</v>
      </c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</row>
    <row r="283" spans="1:64" s="4" customFormat="1" ht="13.9" customHeight="1">
      <c r="A283" s="4">
        <v>222</v>
      </c>
      <c r="B283" s="3" t="s">
        <v>317</v>
      </c>
      <c r="C283" s="3"/>
      <c r="D283" s="3" t="s">
        <v>20</v>
      </c>
      <c r="E283" s="3"/>
      <c r="F283" s="4">
        <v>0</v>
      </c>
      <c r="H283" s="4">
        <v>1084997</v>
      </c>
      <c r="J283" s="4">
        <v>658509</v>
      </c>
      <c r="L283" s="4">
        <v>262625</v>
      </c>
      <c r="N283" s="4">
        <v>315445</v>
      </c>
      <c r="P283" s="4">
        <v>0</v>
      </c>
      <c r="R283" s="4">
        <v>0</v>
      </c>
      <c r="T283" s="4">
        <v>97711</v>
      </c>
      <c r="V283" s="4">
        <v>0</v>
      </c>
      <c r="X283" s="4">
        <v>0</v>
      </c>
      <c r="Z283" s="4">
        <v>230500</v>
      </c>
      <c r="AB283" s="4">
        <v>0</v>
      </c>
      <c r="AD283" s="4">
        <v>0</v>
      </c>
      <c r="AF283" s="77">
        <f t="shared" si="8"/>
        <v>2649787</v>
      </c>
      <c r="AG283" s="47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</row>
    <row r="284" spans="1:64">
      <c r="A284" s="4">
        <v>24</v>
      </c>
      <c r="B284" s="3" t="s">
        <v>264</v>
      </c>
      <c r="D284" s="3" t="s">
        <v>45</v>
      </c>
      <c r="F284" s="4">
        <v>0</v>
      </c>
      <c r="G284" s="4"/>
      <c r="H284" s="4">
        <v>564975</v>
      </c>
      <c r="I284" s="4"/>
      <c r="J284" s="4">
        <v>0</v>
      </c>
      <c r="K284" s="4"/>
      <c r="L284" s="4">
        <v>0</v>
      </c>
      <c r="M284" s="4"/>
      <c r="N284" s="4">
        <v>0</v>
      </c>
      <c r="O284" s="4"/>
      <c r="P284" s="4">
        <v>0</v>
      </c>
      <c r="Q284" s="4"/>
      <c r="R284" s="4">
        <v>0</v>
      </c>
      <c r="S284" s="4"/>
      <c r="T284" s="4">
        <v>27997</v>
      </c>
      <c r="U284" s="4"/>
      <c r="V284" s="4">
        <v>0</v>
      </c>
      <c r="W284" s="4"/>
      <c r="X284" s="4">
        <v>0</v>
      </c>
      <c r="Y284" s="4"/>
      <c r="Z284" s="4">
        <v>0</v>
      </c>
      <c r="AA284" s="4"/>
      <c r="AB284" s="4">
        <v>0</v>
      </c>
      <c r="AC284" s="4"/>
      <c r="AD284" s="4">
        <v>0</v>
      </c>
      <c r="AE284" s="4"/>
      <c r="AF284" s="77">
        <f t="shared" si="8"/>
        <v>592972</v>
      </c>
    </row>
    <row r="285" spans="1:64">
      <c r="A285" s="4"/>
      <c r="B285" s="4" t="s">
        <v>265</v>
      </c>
      <c r="C285" s="4"/>
      <c r="D285" s="4" t="s">
        <v>90</v>
      </c>
      <c r="F285" s="4">
        <v>232708</v>
      </c>
      <c r="G285" s="4"/>
      <c r="H285" s="4">
        <v>2132139</v>
      </c>
      <c r="I285" s="4"/>
      <c r="J285" s="4">
        <v>1128901</v>
      </c>
      <c r="K285" s="4"/>
      <c r="L285" s="4">
        <v>577206</v>
      </c>
      <c r="M285" s="4"/>
      <c r="N285" s="4">
        <v>752866</v>
      </c>
      <c r="O285" s="4"/>
      <c r="P285" s="4">
        <v>0</v>
      </c>
      <c r="Q285" s="4"/>
      <c r="R285" s="4">
        <v>0</v>
      </c>
      <c r="S285" s="4"/>
      <c r="T285" s="4">
        <v>105103</v>
      </c>
      <c r="U285" s="4"/>
      <c r="V285" s="4">
        <v>0</v>
      </c>
      <c r="W285" s="4"/>
      <c r="X285" s="4">
        <v>0</v>
      </c>
      <c r="Y285" s="4"/>
      <c r="Z285" s="4">
        <v>0</v>
      </c>
      <c r="AA285" s="4"/>
      <c r="AB285" s="4">
        <v>0</v>
      </c>
      <c r="AC285" s="4"/>
      <c r="AD285" s="4">
        <v>0</v>
      </c>
      <c r="AE285" s="4"/>
      <c r="AF285" s="77">
        <f t="shared" si="8"/>
        <v>4928923</v>
      </c>
    </row>
    <row r="286" spans="1:64" s="4" customFormat="1">
      <c r="A286" s="4">
        <v>260</v>
      </c>
      <c r="B286" s="3" t="s">
        <v>266</v>
      </c>
      <c r="C286" s="3"/>
      <c r="D286" s="3" t="s">
        <v>61</v>
      </c>
      <c r="E286" s="3"/>
      <c r="F286" s="6">
        <v>153820</v>
      </c>
      <c r="G286" s="6"/>
      <c r="H286" s="6">
        <v>285985.01</v>
      </c>
      <c r="I286" s="6"/>
      <c r="J286" s="6">
        <v>0</v>
      </c>
      <c r="K286" s="6"/>
      <c r="L286" s="6">
        <v>0</v>
      </c>
      <c r="M286" s="6"/>
      <c r="N286" s="6">
        <v>0</v>
      </c>
      <c r="O286" s="6"/>
      <c r="P286" s="6">
        <v>0</v>
      </c>
      <c r="Q286" s="6"/>
      <c r="R286" s="6">
        <v>0</v>
      </c>
      <c r="S286" s="6"/>
      <c r="T286" s="6">
        <v>7842.95</v>
      </c>
      <c r="U286" s="6"/>
      <c r="V286" s="6">
        <v>0</v>
      </c>
      <c r="W286" s="6"/>
      <c r="X286" s="6">
        <v>0</v>
      </c>
      <c r="Y286" s="6"/>
      <c r="Z286" s="6">
        <v>0</v>
      </c>
      <c r="AA286" s="6"/>
      <c r="AB286" s="6">
        <v>0</v>
      </c>
      <c r="AC286" s="6"/>
      <c r="AD286" s="6">
        <v>0</v>
      </c>
      <c r="AE286" s="6"/>
      <c r="AF286" s="73">
        <f t="shared" si="8"/>
        <v>447647.96</v>
      </c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</row>
    <row r="287" spans="1:64" s="4" customFormat="1">
      <c r="B287" s="4" t="s">
        <v>610</v>
      </c>
      <c r="D287" s="4" t="s">
        <v>65</v>
      </c>
      <c r="E287" s="3"/>
      <c r="F287" s="4">
        <v>0</v>
      </c>
      <c r="H287" s="4">
        <v>323112</v>
      </c>
      <c r="J287" s="4">
        <v>0</v>
      </c>
      <c r="L287" s="4">
        <v>0</v>
      </c>
      <c r="N287" s="4">
        <v>0</v>
      </c>
      <c r="P287" s="4">
        <v>0</v>
      </c>
      <c r="R287" s="4">
        <v>0</v>
      </c>
      <c r="T287" s="4">
        <v>0</v>
      </c>
      <c r="V287" s="4">
        <v>20000</v>
      </c>
      <c r="X287" s="4">
        <v>0</v>
      </c>
      <c r="Z287" s="4">
        <v>0</v>
      </c>
      <c r="AB287" s="4">
        <v>1276</v>
      </c>
      <c r="AD287" s="4">
        <v>0</v>
      </c>
      <c r="AF287" s="77">
        <f t="shared" ref="AF287:AF307" si="9">SUM(F287:AD287)</f>
        <v>344388</v>
      </c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</row>
    <row r="288" spans="1:64" s="4" customFormat="1" hidden="1">
      <c r="A288" s="4">
        <v>230</v>
      </c>
      <c r="B288" s="3" t="s">
        <v>600</v>
      </c>
      <c r="C288" s="3"/>
      <c r="D288" s="3" t="s">
        <v>54</v>
      </c>
      <c r="E288" s="3"/>
      <c r="AF288" s="77">
        <f t="shared" si="9"/>
        <v>0</v>
      </c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</row>
    <row r="289" spans="1:64" s="4" customFormat="1">
      <c r="A289" s="4">
        <v>245</v>
      </c>
      <c r="B289" s="3" t="s">
        <v>601</v>
      </c>
      <c r="C289" s="3"/>
      <c r="D289" s="3" t="s">
        <v>25</v>
      </c>
      <c r="E289" s="3"/>
      <c r="F289" s="4">
        <v>342677</v>
      </c>
      <c r="H289" s="4">
        <v>245617</v>
      </c>
      <c r="J289" s="4">
        <v>0</v>
      </c>
      <c r="L289" s="4">
        <v>0</v>
      </c>
      <c r="N289" s="4">
        <v>0</v>
      </c>
      <c r="P289" s="4">
        <v>0</v>
      </c>
      <c r="R289" s="4">
        <v>1155391</v>
      </c>
      <c r="T289" s="4">
        <v>50494</v>
      </c>
      <c r="V289" s="4">
        <v>0</v>
      </c>
      <c r="X289" s="4">
        <v>0</v>
      </c>
      <c r="Z289" s="4">
        <v>0</v>
      </c>
      <c r="AB289" s="4">
        <v>0</v>
      </c>
      <c r="AD289" s="4">
        <v>0</v>
      </c>
      <c r="AF289" s="77">
        <f t="shared" si="9"/>
        <v>1794179</v>
      </c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</row>
    <row r="290" spans="1:64" s="4" customFormat="1">
      <c r="A290" s="4">
        <v>171</v>
      </c>
      <c r="B290" s="3" t="s">
        <v>267</v>
      </c>
      <c r="C290" s="3"/>
      <c r="D290" s="3" t="s">
        <v>53</v>
      </c>
      <c r="E290" s="3"/>
      <c r="F290" s="4">
        <v>1329690</v>
      </c>
      <c r="H290" s="4">
        <v>1542810</v>
      </c>
      <c r="J290" s="4">
        <v>1625404</v>
      </c>
      <c r="L290" s="4">
        <v>634972</v>
      </c>
      <c r="N290" s="4">
        <v>1283114</v>
      </c>
      <c r="P290" s="4">
        <v>0</v>
      </c>
      <c r="R290" s="4">
        <v>0</v>
      </c>
      <c r="T290" s="4">
        <v>124780</v>
      </c>
      <c r="V290" s="4">
        <v>0</v>
      </c>
      <c r="X290" s="4">
        <v>0</v>
      </c>
      <c r="Z290" s="4">
        <v>500000</v>
      </c>
      <c r="AB290" s="4">
        <v>0</v>
      </c>
      <c r="AD290" s="4">
        <v>0</v>
      </c>
      <c r="AF290" s="77">
        <f t="shared" si="9"/>
        <v>7040770</v>
      </c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</row>
    <row r="291" spans="1:64" s="4" customFormat="1">
      <c r="A291" s="4">
        <v>87</v>
      </c>
      <c r="B291" s="3" t="s">
        <v>36</v>
      </c>
      <c r="C291" s="3"/>
      <c r="D291" s="3" t="s">
        <v>40</v>
      </c>
      <c r="E291" s="3"/>
      <c r="F291" s="6">
        <v>0</v>
      </c>
      <c r="G291" s="6"/>
      <c r="H291" s="6">
        <v>283199.40999999997</v>
      </c>
      <c r="I291" s="6"/>
      <c r="J291" s="6">
        <v>0</v>
      </c>
      <c r="K291" s="6"/>
      <c r="L291" s="6">
        <v>0</v>
      </c>
      <c r="M291" s="6"/>
      <c r="N291" s="6">
        <v>0</v>
      </c>
      <c r="O291" s="6"/>
      <c r="P291" s="6">
        <v>0</v>
      </c>
      <c r="Q291" s="6"/>
      <c r="R291" s="6">
        <v>0</v>
      </c>
      <c r="S291" s="6"/>
      <c r="T291" s="6">
        <v>28596.99</v>
      </c>
      <c r="U291" s="6"/>
      <c r="V291" s="6">
        <v>0</v>
      </c>
      <c r="W291" s="6"/>
      <c r="X291" s="6">
        <v>0</v>
      </c>
      <c r="Y291" s="6"/>
      <c r="Z291" s="6">
        <v>0</v>
      </c>
      <c r="AA291" s="6"/>
      <c r="AB291" s="6">
        <v>0</v>
      </c>
      <c r="AC291" s="6"/>
      <c r="AD291" s="6">
        <v>0</v>
      </c>
      <c r="AE291" s="6"/>
      <c r="AF291" s="73">
        <f t="shared" si="9"/>
        <v>311796.39999999997</v>
      </c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</row>
    <row r="292" spans="1:64" s="4" customFormat="1">
      <c r="A292" s="4">
        <v>247</v>
      </c>
      <c r="B292" s="4" t="s">
        <v>602</v>
      </c>
      <c r="D292" s="4" t="s">
        <v>223</v>
      </c>
      <c r="F292" s="4">
        <v>298255</v>
      </c>
      <c r="H292" s="4">
        <v>2086388</v>
      </c>
      <c r="J292" s="4">
        <v>1101708</v>
      </c>
      <c r="L292" s="4">
        <v>638543</v>
      </c>
      <c r="N292" s="4">
        <v>523667</v>
      </c>
      <c r="P292" s="4">
        <v>0</v>
      </c>
      <c r="R292" s="4">
        <v>0</v>
      </c>
      <c r="T292" s="4">
        <v>13962</v>
      </c>
      <c r="V292" s="4">
        <v>0</v>
      </c>
      <c r="X292" s="4">
        <v>0</v>
      </c>
      <c r="Z292" s="4">
        <v>350160</v>
      </c>
      <c r="AB292" s="4">
        <v>0</v>
      </c>
      <c r="AD292" s="4">
        <v>0</v>
      </c>
      <c r="AF292" s="77">
        <f t="shared" si="9"/>
        <v>5012683</v>
      </c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</row>
    <row r="293" spans="1:64" s="4" customFormat="1">
      <c r="A293" s="4">
        <v>254</v>
      </c>
      <c r="B293" s="3" t="s">
        <v>269</v>
      </c>
      <c r="C293" s="3"/>
      <c r="D293" s="3" t="s">
        <v>63</v>
      </c>
      <c r="E293" s="3"/>
      <c r="F293" s="6">
        <v>0</v>
      </c>
      <c r="G293" s="6"/>
      <c r="H293" s="6">
        <v>0</v>
      </c>
      <c r="I293" s="6"/>
      <c r="J293" s="6">
        <v>0</v>
      </c>
      <c r="K293" s="6"/>
      <c r="L293" s="6">
        <v>0</v>
      </c>
      <c r="M293" s="6"/>
      <c r="N293" s="6">
        <v>0</v>
      </c>
      <c r="O293" s="6"/>
      <c r="P293" s="6">
        <v>0</v>
      </c>
      <c r="Q293" s="6"/>
      <c r="R293" s="6">
        <v>0</v>
      </c>
      <c r="S293" s="6"/>
      <c r="T293" s="6">
        <v>1231.1199999999999</v>
      </c>
      <c r="U293" s="6"/>
      <c r="V293" s="6">
        <v>0</v>
      </c>
      <c r="W293" s="6"/>
      <c r="X293" s="6">
        <v>0</v>
      </c>
      <c r="Y293" s="6"/>
      <c r="Z293" s="6">
        <v>0</v>
      </c>
      <c r="AA293" s="6"/>
      <c r="AB293" s="6">
        <v>0</v>
      </c>
      <c r="AC293" s="6"/>
      <c r="AD293" s="6">
        <v>0</v>
      </c>
      <c r="AE293" s="6"/>
      <c r="AF293" s="73">
        <f t="shared" si="9"/>
        <v>1231.1199999999999</v>
      </c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</row>
    <row r="294" spans="1:64">
      <c r="A294" s="4">
        <v>255</v>
      </c>
      <c r="B294" s="3" t="s">
        <v>270</v>
      </c>
      <c r="D294" s="3" t="s">
        <v>63</v>
      </c>
      <c r="F294" s="6">
        <v>0</v>
      </c>
      <c r="G294" s="6"/>
      <c r="H294" s="6">
        <v>1708282.6</v>
      </c>
      <c r="I294" s="6"/>
      <c r="J294" s="6">
        <v>0</v>
      </c>
      <c r="K294" s="6"/>
      <c r="L294" s="6">
        <v>0</v>
      </c>
      <c r="M294" s="6"/>
      <c r="N294" s="6">
        <v>0</v>
      </c>
      <c r="O294" s="6"/>
      <c r="P294" s="6">
        <v>0</v>
      </c>
      <c r="Q294" s="6"/>
      <c r="R294" s="6">
        <v>0</v>
      </c>
      <c r="S294" s="6"/>
      <c r="T294" s="6">
        <v>26603.62</v>
      </c>
      <c r="U294" s="6"/>
      <c r="V294" s="6">
        <v>0</v>
      </c>
      <c r="W294" s="6"/>
      <c r="X294" s="6">
        <v>0</v>
      </c>
      <c r="Y294" s="6"/>
      <c r="Z294" s="6">
        <v>0</v>
      </c>
      <c r="AA294" s="6"/>
      <c r="AB294" s="6">
        <v>0</v>
      </c>
      <c r="AC294" s="6"/>
      <c r="AD294" s="6">
        <v>0</v>
      </c>
      <c r="AE294" s="6"/>
      <c r="AF294" s="73">
        <f t="shared" si="9"/>
        <v>1734886.2200000002</v>
      </c>
      <c r="AG294" s="47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4"/>
    </row>
    <row r="295" spans="1:64" s="4" customFormat="1">
      <c r="A295" s="4">
        <v>44</v>
      </c>
      <c r="B295" s="35" t="s">
        <v>271</v>
      </c>
      <c r="C295" s="35"/>
      <c r="D295" s="35" t="s">
        <v>474</v>
      </c>
      <c r="E295" s="35"/>
      <c r="F295" s="6">
        <v>0</v>
      </c>
      <c r="G295" s="6"/>
      <c r="H295" s="6">
        <v>339223.02</v>
      </c>
      <c r="I295" s="6"/>
      <c r="J295" s="6">
        <v>0</v>
      </c>
      <c r="K295" s="6"/>
      <c r="L295" s="6">
        <v>0</v>
      </c>
      <c r="M295" s="6"/>
      <c r="N295" s="6">
        <v>0</v>
      </c>
      <c r="O295" s="6"/>
      <c r="P295" s="6">
        <v>0</v>
      </c>
      <c r="Q295" s="6"/>
      <c r="R295" s="6">
        <v>0</v>
      </c>
      <c r="S295" s="6"/>
      <c r="T295" s="6">
        <v>0</v>
      </c>
      <c r="U295" s="6"/>
      <c r="V295" s="6">
        <v>0</v>
      </c>
      <c r="W295" s="6"/>
      <c r="X295" s="6">
        <v>0</v>
      </c>
      <c r="Y295" s="6"/>
      <c r="Z295" s="6">
        <v>0</v>
      </c>
      <c r="AA295" s="6"/>
      <c r="AB295" s="6">
        <v>0</v>
      </c>
      <c r="AC295" s="6"/>
      <c r="AD295" s="6">
        <v>0</v>
      </c>
      <c r="AE295" s="6"/>
      <c r="AF295" s="73">
        <f t="shared" si="9"/>
        <v>339223.02</v>
      </c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</row>
    <row r="296" spans="1:64">
      <c r="A296" s="4">
        <v>78</v>
      </c>
      <c r="B296" s="3" t="s">
        <v>564</v>
      </c>
      <c r="D296" s="3" t="s">
        <v>90</v>
      </c>
      <c r="F296" s="4">
        <v>0</v>
      </c>
      <c r="G296" s="4"/>
      <c r="H296" s="4">
        <v>4935339</v>
      </c>
      <c r="I296" s="4"/>
      <c r="J296" s="4">
        <v>0</v>
      </c>
      <c r="K296" s="4"/>
      <c r="L296" s="4">
        <v>0</v>
      </c>
      <c r="M296" s="4"/>
      <c r="N296" s="4">
        <v>0</v>
      </c>
      <c r="O296" s="4"/>
      <c r="P296" s="4">
        <v>0</v>
      </c>
      <c r="Q296" s="4"/>
      <c r="R296" s="4">
        <v>0</v>
      </c>
      <c r="S296" s="4"/>
      <c r="T296" s="4">
        <v>0</v>
      </c>
      <c r="U296" s="4"/>
      <c r="V296" s="4">
        <v>0</v>
      </c>
      <c r="W296" s="4"/>
      <c r="X296" s="4">
        <v>0</v>
      </c>
      <c r="Y296" s="4"/>
      <c r="Z296" s="4">
        <v>260846</v>
      </c>
      <c r="AA296" s="4"/>
      <c r="AB296" s="4">
        <v>0</v>
      </c>
      <c r="AC296" s="4"/>
      <c r="AD296" s="4">
        <v>0</v>
      </c>
      <c r="AE296" s="4"/>
      <c r="AF296" s="77">
        <f t="shared" si="9"/>
        <v>5196185</v>
      </c>
      <c r="AH296" s="48"/>
      <c r="AI296" s="48"/>
      <c r="AJ296" s="48"/>
      <c r="AK296" s="48"/>
    </row>
    <row r="297" spans="1:64" s="4" customFormat="1" ht="12" customHeight="1">
      <c r="A297" s="4">
        <v>256</v>
      </c>
      <c r="B297" s="3" t="s">
        <v>272</v>
      </c>
      <c r="C297" s="3"/>
      <c r="D297" s="3" t="s">
        <v>63</v>
      </c>
      <c r="E297" s="3"/>
      <c r="F297" s="6">
        <v>0</v>
      </c>
      <c r="G297" s="6"/>
      <c r="H297" s="6">
        <v>340547.25</v>
      </c>
      <c r="I297" s="6"/>
      <c r="J297" s="6">
        <v>0</v>
      </c>
      <c r="K297" s="6"/>
      <c r="L297" s="6">
        <v>0</v>
      </c>
      <c r="M297" s="6"/>
      <c r="N297" s="6">
        <v>0</v>
      </c>
      <c r="O297" s="6"/>
      <c r="P297" s="6">
        <v>0</v>
      </c>
      <c r="Q297" s="6"/>
      <c r="R297" s="6">
        <v>0</v>
      </c>
      <c r="S297" s="6"/>
      <c r="T297" s="6">
        <v>0</v>
      </c>
      <c r="U297" s="6"/>
      <c r="V297" s="6">
        <v>0</v>
      </c>
      <c r="W297" s="6"/>
      <c r="X297" s="6">
        <v>0</v>
      </c>
      <c r="Y297" s="6"/>
      <c r="Z297" s="6">
        <v>0</v>
      </c>
      <c r="AA297" s="6"/>
      <c r="AB297" s="6">
        <v>0</v>
      </c>
      <c r="AC297" s="6"/>
      <c r="AD297" s="6">
        <v>0</v>
      </c>
      <c r="AE297" s="6"/>
      <c r="AF297" s="73">
        <f t="shared" si="9"/>
        <v>340547.25</v>
      </c>
      <c r="AG297" s="47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</row>
    <row r="298" spans="1:64" s="4" customFormat="1">
      <c r="A298" s="4">
        <v>129</v>
      </c>
      <c r="B298" s="3" t="s">
        <v>462</v>
      </c>
      <c r="C298" s="3"/>
      <c r="D298" s="3" t="s">
        <v>480</v>
      </c>
      <c r="E298" s="3"/>
      <c r="F298" s="76">
        <v>0</v>
      </c>
      <c r="G298" s="76"/>
      <c r="H298" s="76">
        <v>1337319.1299999999</v>
      </c>
      <c r="I298" s="76"/>
      <c r="J298" s="76">
        <v>0</v>
      </c>
      <c r="K298" s="76"/>
      <c r="L298" s="76">
        <v>0</v>
      </c>
      <c r="M298" s="76"/>
      <c r="N298" s="76">
        <v>0</v>
      </c>
      <c r="O298" s="76"/>
      <c r="P298" s="76">
        <v>0</v>
      </c>
      <c r="Q298" s="76"/>
      <c r="R298" s="76">
        <v>0</v>
      </c>
      <c r="S298" s="76"/>
      <c r="T298" s="76">
        <v>0</v>
      </c>
      <c r="U298" s="76"/>
      <c r="V298" s="76">
        <v>0</v>
      </c>
      <c r="W298" s="76"/>
      <c r="X298" s="76">
        <v>0</v>
      </c>
      <c r="Y298" s="76"/>
      <c r="Z298" s="76">
        <v>0</v>
      </c>
      <c r="AA298" s="76"/>
      <c r="AB298" s="76">
        <v>0</v>
      </c>
      <c r="AC298" s="76"/>
      <c r="AD298" s="76">
        <v>0</v>
      </c>
      <c r="AE298" s="76"/>
      <c r="AF298" s="73">
        <f t="shared" si="9"/>
        <v>1337319.1299999999</v>
      </c>
      <c r="AG298" s="47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</row>
    <row r="299" spans="1:64" s="4" customFormat="1" hidden="1">
      <c r="A299" s="4">
        <v>114</v>
      </c>
      <c r="B299" s="3" t="s">
        <v>273</v>
      </c>
      <c r="C299" s="3"/>
      <c r="D299" s="3" t="s">
        <v>87</v>
      </c>
      <c r="E299" s="3"/>
      <c r="AF299" s="77">
        <f t="shared" si="9"/>
        <v>0</v>
      </c>
      <c r="AG299" s="47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</row>
    <row r="300" spans="1:64" s="4" customFormat="1">
      <c r="A300" s="4">
        <v>249</v>
      </c>
      <c r="B300" s="3" t="s">
        <v>603</v>
      </c>
      <c r="C300" s="3"/>
      <c r="D300" s="3" t="s">
        <v>202</v>
      </c>
      <c r="E300" s="3"/>
      <c r="F300" s="6">
        <v>0</v>
      </c>
      <c r="G300" s="6"/>
      <c r="H300" s="6">
        <v>264466</v>
      </c>
      <c r="I300" s="6"/>
      <c r="J300" s="6">
        <v>0</v>
      </c>
      <c r="K300" s="6"/>
      <c r="L300" s="6">
        <v>170428.79999999999</v>
      </c>
      <c r="M300" s="6"/>
      <c r="N300" s="6">
        <v>1099714.55</v>
      </c>
      <c r="O300" s="6"/>
      <c r="P300" s="6">
        <v>0</v>
      </c>
      <c r="Q300" s="6"/>
      <c r="R300" s="6">
        <v>0</v>
      </c>
      <c r="S300" s="6"/>
      <c r="T300" s="6">
        <v>38259.64</v>
      </c>
      <c r="U300" s="6"/>
      <c r="V300" s="6">
        <v>0</v>
      </c>
      <c r="W300" s="6"/>
      <c r="X300" s="6">
        <v>0</v>
      </c>
      <c r="Y300" s="6"/>
      <c r="Z300" s="6">
        <v>0</v>
      </c>
      <c r="AA300" s="6"/>
      <c r="AB300" s="6">
        <v>0</v>
      </c>
      <c r="AC300" s="6"/>
      <c r="AD300" s="6">
        <v>0</v>
      </c>
      <c r="AE300" s="6"/>
      <c r="AF300" s="73">
        <f t="shared" si="9"/>
        <v>1572868.99</v>
      </c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</row>
    <row r="301" spans="1:64" s="4" customFormat="1">
      <c r="A301" s="39">
        <v>130</v>
      </c>
      <c r="B301" s="3" t="s">
        <v>274</v>
      </c>
      <c r="C301" s="3"/>
      <c r="D301" s="3" t="s">
        <v>13</v>
      </c>
      <c r="E301" s="3"/>
      <c r="F301" s="4">
        <v>363071</v>
      </c>
      <c r="H301" s="4">
        <f>915630+2896000</f>
        <v>3811630</v>
      </c>
      <c r="J301" s="4">
        <v>0</v>
      </c>
      <c r="L301" s="4">
        <v>276810</v>
      </c>
      <c r="N301" s="4">
        <v>0</v>
      </c>
      <c r="P301" s="4">
        <v>68406</v>
      </c>
      <c r="R301" s="4">
        <v>12154</v>
      </c>
      <c r="T301" s="4">
        <v>28191</v>
      </c>
      <c r="V301" s="4">
        <v>0</v>
      </c>
      <c r="X301" s="4">
        <v>0</v>
      </c>
      <c r="Z301" s="4">
        <v>100000</v>
      </c>
      <c r="AB301" s="4">
        <v>0</v>
      </c>
      <c r="AD301" s="4">
        <v>0</v>
      </c>
      <c r="AF301" s="77">
        <f t="shared" si="9"/>
        <v>4660262</v>
      </c>
      <c r="AG301" s="47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</row>
    <row r="302" spans="1:64" s="4" customFormat="1">
      <c r="A302" s="4">
        <v>37</v>
      </c>
      <c r="B302" s="3" t="s">
        <v>275</v>
      </c>
      <c r="C302" s="3"/>
      <c r="D302" s="3" t="s">
        <v>67</v>
      </c>
      <c r="E302" s="3"/>
      <c r="F302" s="6">
        <v>0</v>
      </c>
      <c r="G302" s="6"/>
      <c r="H302" s="6">
        <v>714871.1</v>
      </c>
      <c r="I302" s="6"/>
      <c r="J302" s="6">
        <v>0</v>
      </c>
      <c r="K302" s="6"/>
      <c r="L302" s="6">
        <v>0</v>
      </c>
      <c r="M302" s="6"/>
      <c r="N302" s="6">
        <v>0</v>
      </c>
      <c r="O302" s="6"/>
      <c r="P302" s="6">
        <v>0</v>
      </c>
      <c r="Q302" s="6"/>
      <c r="R302" s="6">
        <v>0</v>
      </c>
      <c r="S302" s="6"/>
      <c r="T302" s="6">
        <v>6010.98</v>
      </c>
      <c r="U302" s="6"/>
      <c r="V302" s="6">
        <v>0</v>
      </c>
      <c r="W302" s="6"/>
      <c r="X302" s="6">
        <v>0</v>
      </c>
      <c r="Y302" s="6"/>
      <c r="Z302" s="6">
        <v>125000</v>
      </c>
      <c r="AA302" s="6"/>
      <c r="AB302" s="6">
        <v>0</v>
      </c>
      <c r="AC302" s="6"/>
      <c r="AD302" s="6">
        <v>0</v>
      </c>
      <c r="AE302" s="6"/>
      <c r="AF302" s="73">
        <f t="shared" si="9"/>
        <v>845882.08</v>
      </c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</row>
    <row r="303" spans="1:64">
      <c r="A303" s="4">
        <v>257</v>
      </c>
      <c r="B303" s="3" t="s">
        <v>604</v>
      </c>
      <c r="D303" s="3" t="s">
        <v>63</v>
      </c>
      <c r="F303" s="4">
        <v>0</v>
      </c>
      <c r="G303" s="4"/>
      <c r="H303" s="4">
        <v>1490763</v>
      </c>
      <c r="I303" s="4"/>
      <c r="J303" s="4">
        <v>0</v>
      </c>
      <c r="K303" s="4"/>
      <c r="L303" s="4">
        <v>0</v>
      </c>
      <c r="M303" s="4"/>
      <c r="N303" s="4">
        <v>0</v>
      </c>
      <c r="O303" s="4"/>
      <c r="P303" s="4">
        <v>0</v>
      </c>
      <c r="Q303" s="4"/>
      <c r="R303" s="4">
        <v>0</v>
      </c>
      <c r="S303" s="4"/>
      <c r="T303" s="4">
        <v>96947</v>
      </c>
      <c r="U303" s="4"/>
      <c r="V303" s="4">
        <v>43412</v>
      </c>
      <c r="W303" s="4"/>
      <c r="X303" s="4">
        <v>35868</v>
      </c>
      <c r="Y303" s="4"/>
      <c r="Z303" s="4">
        <v>0</v>
      </c>
      <c r="AA303" s="4"/>
      <c r="AB303" s="4">
        <v>0</v>
      </c>
      <c r="AC303" s="4"/>
      <c r="AD303" s="4">
        <v>0</v>
      </c>
      <c r="AE303" s="4"/>
      <c r="AF303" s="77">
        <f t="shared" si="9"/>
        <v>1666990</v>
      </c>
    </row>
    <row r="304" spans="1:64">
      <c r="A304" s="4">
        <v>61</v>
      </c>
      <c r="B304" s="3" t="s">
        <v>276</v>
      </c>
      <c r="D304" s="3" t="s">
        <v>79</v>
      </c>
      <c r="F304" s="6">
        <v>0</v>
      </c>
      <c r="G304" s="6"/>
      <c r="H304" s="6">
        <v>232590.23</v>
      </c>
      <c r="I304" s="6"/>
      <c r="J304" s="6">
        <v>0</v>
      </c>
      <c r="K304" s="6"/>
      <c r="L304" s="6">
        <v>0</v>
      </c>
      <c r="M304" s="6"/>
      <c r="N304" s="6">
        <v>0</v>
      </c>
      <c r="O304" s="6"/>
      <c r="P304" s="6">
        <v>0</v>
      </c>
      <c r="Q304" s="6"/>
      <c r="R304" s="6">
        <v>0</v>
      </c>
      <c r="S304" s="6"/>
      <c r="T304" s="6">
        <v>6095</v>
      </c>
      <c r="U304" s="6"/>
      <c r="V304" s="6">
        <v>0</v>
      </c>
      <c r="W304" s="6"/>
      <c r="X304" s="6">
        <v>0</v>
      </c>
      <c r="Y304" s="6"/>
      <c r="Z304" s="6">
        <v>0</v>
      </c>
      <c r="AA304" s="6"/>
      <c r="AB304" s="6">
        <v>0</v>
      </c>
      <c r="AC304" s="6"/>
      <c r="AD304" s="6">
        <v>0</v>
      </c>
      <c r="AE304" s="6"/>
      <c r="AF304" s="73">
        <f t="shared" si="9"/>
        <v>238685.23</v>
      </c>
      <c r="AG304" s="47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4"/>
    </row>
    <row r="305" spans="1:64" s="4" customFormat="1">
      <c r="A305" s="4">
        <v>65</v>
      </c>
      <c r="B305" s="3" t="s">
        <v>318</v>
      </c>
      <c r="C305" s="3"/>
      <c r="D305" s="3" t="s">
        <v>68</v>
      </c>
      <c r="E305" s="3"/>
      <c r="F305" s="6">
        <v>0</v>
      </c>
      <c r="G305" s="6"/>
      <c r="H305" s="6">
        <v>167007</v>
      </c>
      <c r="I305" s="6"/>
      <c r="J305" s="6">
        <v>0</v>
      </c>
      <c r="K305" s="6"/>
      <c r="L305" s="6">
        <v>0</v>
      </c>
      <c r="M305" s="6"/>
      <c r="N305" s="6">
        <v>0</v>
      </c>
      <c r="O305" s="6"/>
      <c r="P305" s="6">
        <v>0</v>
      </c>
      <c r="Q305" s="6"/>
      <c r="R305" s="6">
        <v>0</v>
      </c>
      <c r="S305" s="6"/>
      <c r="T305" s="6">
        <v>450</v>
      </c>
      <c r="U305" s="6"/>
      <c r="V305" s="6">
        <v>0</v>
      </c>
      <c r="W305" s="6"/>
      <c r="X305" s="6">
        <v>0</v>
      </c>
      <c r="Y305" s="6"/>
      <c r="Z305" s="6">
        <v>0</v>
      </c>
      <c r="AA305" s="6"/>
      <c r="AB305" s="6">
        <v>0</v>
      </c>
      <c r="AC305" s="6"/>
      <c r="AD305" s="6">
        <v>0</v>
      </c>
      <c r="AE305" s="6"/>
      <c r="AF305" s="73">
        <f t="shared" si="9"/>
        <v>167457</v>
      </c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</row>
    <row r="306" spans="1:64" s="4" customFormat="1">
      <c r="A306" s="4">
        <v>81</v>
      </c>
      <c r="B306" s="3" t="s">
        <v>277</v>
      </c>
      <c r="C306" s="3"/>
      <c r="D306" s="3" t="s">
        <v>90</v>
      </c>
      <c r="E306" s="3"/>
      <c r="F306" s="4">
        <v>699824</v>
      </c>
      <c r="H306" s="4">
        <v>3549203</v>
      </c>
      <c r="J306" s="4">
        <v>1920779</v>
      </c>
      <c r="L306" s="4">
        <v>709612</v>
      </c>
      <c r="N306" s="4">
        <v>1271048</v>
      </c>
      <c r="P306" s="4">
        <v>0</v>
      </c>
      <c r="R306" s="4">
        <v>0</v>
      </c>
      <c r="T306" s="4">
        <v>17443</v>
      </c>
      <c r="V306" s="4">
        <v>0</v>
      </c>
      <c r="X306" s="4">
        <v>0</v>
      </c>
      <c r="Z306" s="4">
        <v>330912</v>
      </c>
      <c r="AB306" s="4">
        <v>0</v>
      </c>
      <c r="AD306" s="4">
        <v>0</v>
      </c>
      <c r="AF306" s="77">
        <f t="shared" si="9"/>
        <v>8498821</v>
      </c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</row>
    <row r="307" spans="1:64" s="4" customFormat="1">
      <c r="A307" s="4">
        <v>172</v>
      </c>
      <c r="B307" s="35" t="s">
        <v>463</v>
      </c>
      <c r="C307" s="35"/>
      <c r="D307" s="35" t="s">
        <v>490</v>
      </c>
      <c r="E307" s="35"/>
      <c r="F307" s="76">
        <v>0</v>
      </c>
      <c r="G307" s="76"/>
      <c r="H307" s="76">
        <v>1455116.4</v>
      </c>
      <c r="I307" s="76"/>
      <c r="J307" s="76">
        <v>0</v>
      </c>
      <c r="K307" s="76"/>
      <c r="L307" s="76">
        <v>0</v>
      </c>
      <c r="M307" s="76"/>
      <c r="N307" s="76">
        <v>0</v>
      </c>
      <c r="O307" s="76"/>
      <c r="P307" s="76">
        <v>0</v>
      </c>
      <c r="Q307" s="76"/>
      <c r="R307" s="76">
        <v>0</v>
      </c>
      <c r="S307" s="76"/>
      <c r="T307" s="76">
        <v>0</v>
      </c>
      <c r="U307" s="76"/>
      <c r="V307" s="76">
        <v>0</v>
      </c>
      <c r="W307" s="76"/>
      <c r="X307" s="76">
        <v>0</v>
      </c>
      <c r="Y307" s="76"/>
      <c r="Z307" s="76">
        <v>0</v>
      </c>
      <c r="AA307" s="76"/>
      <c r="AB307" s="76">
        <v>0</v>
      </c>
      <c r="AC307" s="76"/>
      <c r="AD307" s="76">
        <v>0</v>
      </c>
      <c r="AE307" s="76"/>
      <c r="AF307" s="73">
        <f t="shared" si="9"/>
        <v>1455116.4</v>
      </c>
      <c r="AG307" s="47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</row>
    <row r="308" spans="1:64" s="4" customFormat="1">
      <c r="B308" s="3"/>
      <c r="C308" s="3"/>
      <c r="D308" s="3"/>
      <c r="E308" s="3"/>
      <c r="G308" s="3"/>
      <c r="K308" s="3"/>
      <c r="O308" s="3"/>
      <c r="Q308" s="3"/>
      <c r="S308" s="3"/>
      <c r="U308" s="3"/>
      <c r="W308" s="3"/>
      <c r="Y308" s="3"/>
      <c r="AA308" s="3"/>
      <c r="AC308" s="3"/>
      <c r="AE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</row>
    <row r="309" spans="1:64" s="4" customFormat="1">
      <c r="B309" s="3" t="s">
        <v>638</v>
      </c>
      <c r="C309" s="3"/>
      <c r="D309" s="3"/>
      <c r="E309" s="3"/>
      <c r="G309" s="3"/>
      <c r="K309" s="3"/>
      <c r="O309" s="3"/>
      <c r="Q309" s="3"/>
      <c r="S309" s="3"/>
      <c r="U309" s="3"/>
      <c r="W309" s="3"/>
      <c r="Y309" s="3"/>
      <c r="AA309" s="3"/>
      <c r="AC309" s="3"/>
      <c r="AE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</row>
    <row r="310" spans="1:64" s="4" customFormat="1"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8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</row>
    <row r="311" spans="1:64" s="4" customFormat="1">
      <c r="B311" s="3"/>
      <c r="C311" s="3"/>
      <c r="D311" s="3"/>
      <c r="E311" s="3"/>
      <c r="G311" s="3"/>
      <c r="K311" s="3"/>
      <c r="O311" s="3"/>
      <c r="Q311" s="3"/>
      <c r="S311" s="3"/>
      <c r="U311" s="3"/>
      <c r="W311" s="3"/>
      <c r="Y311" s="3"/>
      <c r="AA311" s="3"/>
      <c r="AC311" s="3"/>
      <c r="AE311" s="3"/>
      <c r="AF311" s="8"/>
      <c r="AG311" s="47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</row>
    <row r="312" spans="1:64" s="4" customFormat="1">
      <c r="B312" s="3"/>
      <c r="C312" s="3"/>
      <c r="D312" s="3"/>
      <c r="E312" s="3"/>
      <c r="G312" s="3"/>
      <c r="K312" s="3"/>
      <c r="O312" s="3"/>
      <c r="Q312" s="3"/>
      <c r="S312" s="3"/>
      <c r="U312" s="3"/>
      <c r="W312" s="3"/>
      <c r="Y312" s="3"/>
      <c r="AA312" s="3"/>
      <c r="AC312" s="3"/>
      <c r="AE312" s="3"/>
      <c r="AF312" s="8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</row>
    <row r="313" spans="1:64" s="4" customFormat="1">
      <c r="B313" s="3"/>
      <c r="C313" s="3"/>
      <c r="D313" s="3"/>
      <c r="E313" s="3"/>
      <c r="G313" s="3"/>
      <c r="K313" s="3"/>
      <c r="O313" s="3"/>
      <c r="Q313" s="3"/>
      <c r="S313" s="3"/>
      <c r="U313" s="3"/>
      <c r="W313" s="3"/>
      <c r="Y313" s="3"/>
      <c r="AA313" s="3"/>
      <c r="AC313" s="3"/>
      <c r="AE313" s="3"/>
      <c r="AF313" s="8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</row>
    <row r="314" spans="1:64">
      <c r="B314" s="50"/>
      <c r="C314" s="50"/>
      <c r="D314" s="50" t="s">
        <v>498</v>
      </c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1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</row>
  </sheetData>
  <sortState ref="A19:AF270">
    <sortCondition ref="B19:B270"/>
  </sortState>
  <phoneticPr fontId="1" type="noConversion"/>
  <printOptions horizontalCentered="1"/>
  <pageMargins left="0.75" right="0.75" top="0.5" bottom="0.5" header="0" footer="0.3"/>
  <pageSetup scale="80" firstPageNumber="16" fitToWidth="0" fitToHeight="0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9" min="1" max="31" man="1"/>
    <brk id="169" min="1" max="31" man="1"/>
    <brk id="247" min="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N395"/>
  <sheetViews>
    <sheetView view="pageBreakPreview" topLeftCell="B1" zoomScaleNormal="100" zoomScaleSheetLayoutView="100" workbookViewId="0">
      <pane xSplit="4" ySplit="19" topLeftCell="J20" activePane="bottomRight" state="frozen"/>
      <selection activeCell="H97" sqref="H97"/>
      <selection pane="topRight" activeCell="H97" sqref="H97"/>
      <selection pane="bottomLeft" activeCell="H97" sqref="H97"/>
      <selection pane="bottomRight" activeCell="H97" sqref="H97"/>
    </sheetView>
  </sheetViews>
  <sheetFormatPr defaultColWidth="9.140625" defaultRowHeight="12"/>
  <cols>
    <col min="1" max="1" width="0" style="3" hidden="1" customWidth="1"/>
    <col min="2" max="2" width="38" style="3" customWidth="1"/>
    <col min="3" max="3" width="1.28515625" style="3" customWidth="1"/>
    <col min="4" max="4" width="10.42578125" style="3" customWidth="1"/>
    <col min="5" max="5" width="1.28515625" style="3" customWidth="1"/>
    <col min="6" max="6" width="11.140625" style="3" customWidth="1"/>
    <col min="7" max="7" width="1.28515625" style="3" customWidth="1"/>
    <col min="8" max="8" width="10.85546875" style="3" customWidth="1"/>
    <col min="9" max="9" width="1.28515625" style="3" customWidth="1"/>
    <col min="10" max="10" width="10.140625" style="3" customWidth="1"/>
    <col min="11" max="11" width="1.28515625" style="3" customWidth="1"/>
    <col min="12" max="12" width="10.140625" style="3" customWidth="1"/>
    <col min="13" max="13" width="1.28515625" style="3" customWidth="1"/>
    <col min="14" max="14" width="10.140625" style="3" customWidth="1"/>
    <col min="15" max="15" width="1.28515625" style="3" customWidth="1"/>
    <col min="16" max="16" width="9.5703125" style="3" customWidth="1"/>
    <col min="17" max="17" width="1.28515625" style="3" customWidth="1"/>
    <col min="18" max="18" width="10.710937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" style="3" customWidth="1"/>
    <col min="23" max="23" width="1.28515625" style="3" customWidth="1"/>
    <col min="24" max="24" width="9.7109375" style="3" customWidth="1"/>
    <col min="25" max="25" width="1.28515625" style="3" customWidth="1"/>
    <col min="26" max="26" width="9.7109375" style="3" customWidth="1"/>
    <col min="27" max="27" width="1.28515625" style="3" customWidth="1"/>
    <col min="28" max="28" width="9.5703125" style="3" customWidth="1"/>
    <col min="29" max="29" width="1.28515625" style="3" customWidth="1"/>
    <col min="30" max="30" width="9.7109375" style="3" customWidth="1"/>
    <col min="31" max="31" width="1.28515625" style="3" customWidth="1"/>
    <col min="32" max="32" width="9.85546875" style="3" customWidth="1"/>
    <col min="33" max="33" width="1.28515625" style="3" customWidth="1"/>
    <col min="34" max="34" width="10.85546875" style="3" customWidth="1"/>
    <col min="35" max="16384" width="9.140625" style="3"/>
  </cols>
  <sheetData>
    <row r="1" spans="1:66">
      <c r="B1" s="3" t="s">
        <v>518</v>
      </c>
    </row>
    <row r="2" spans="1:66">
      <c r="B2" s="3" t="s">
        <v>626</v>
      </c>
    </row>
    <row r="3" spans="1:66" hidden="1">
      <c r="B3" s="41" t="s">
        <v>5</v>
      </c>
    </row>
    <row r="5" spans="1:66" s="36" customFormat="1">
      <c r="H5" s="36" t="s">
        <v>280</v>
      </c>
    </row>
    <row r="6" spans="1:66" s="36" customFormat="1">
      <c r="F6" s="36" t="s">
        <v>29</v>
      </c>
      <c r="H6" s="36" t="s">
        <v>281</v>
      </c>
      <c r="P6" s="36" t="s">
        <v>27</v>
      </c>
      <c r="R6" s="36" t="s">
        <v>287</v>
      </c>
      <c r="X6" s="36" t="s">
        <v>292</v>
      </c>
      <c r="AD6" s="36" t="s">
        <v>0</v>
      </c>
    </row>
    <row r="7" spans="1:66" s="36" customFormat="1" ht="12" customHeight="1">
      <c r="F7" s="36" t="s">
        <v>0</v>
      </c>
      <c r="H7" s="36" t="s">
        <v>282</v>
      </c>
      <c r="J7" s="36" t="s">
        <v>344</v>
      </c>
      <c r="L7" s="36" t="s">
        <v>284</v>
      </c>
      <c r="P7" s="36" t="s">
        <v>286</v>
      </c>
      <c r="R7" s="36" t="s">
        <v>288</v>
      </c>
      <c r="T7" s="36" t="s">
        <v>290</v>
      </c>
      <c r="X7" s="36" t="s">
        <v>293</v>
      </c>
      <c r="AD7" s="36" t="s">
        <v>294</v>
      </c>
      <c r="AF7" s="36" t="s">
        <v>636</v>
      </c>
    </row>
    <row r="8" spans="1:66" s="36" customFormat="1" ht="12" customHeight="1">
      <c r="A8" s="36" t="s">
        <v>567</v>
      </c>
      <c r="B8" s="37"/>
      <c r="C8" s="44"/>
      <c r="D8" s="37" t="s">
        <v>4</v>
      </c>
      <c r="E8" s="44"/>
      <c r="F8" s="37" t="s">
        <v>279</v>
      </c>
      <c r="G8" s="44"/>
      <c r="H8" s="37" t="s">
        <v>283</v>
      </c>
      <c r="I8" s="44"/>
      <c r="J8" s="37" t="s">
        <v>345</v>
      </c>
      <c r="K8" s="44"/>
      <c r="L8" s="37" t="s">
        <v>285</v>
      </c>
      <c r="M8" s="44"/>
      <c r="N8" s="37" t="s">
        <v>549</v>
      </c>
      <c r="O8" s="44"/>
      <c r="P8" s="37" t="s">
        <v>551</v>
      </c>
      <c r="Q8" s="44"/>
      <c r="R8" s="37" t="s">
        <v>289</v>
      </c>
      <c r="S8" s="44"/>
      <c r="T8" s="37" t="s">
        <v>291</v>
      </c>
      <c r="U8" s="44"/>
      <c r="V8" s="37" t="s">
        <v>1</v>
      </c>
      <c r="W8" s="44"/>
      <c r="X8" s="37" t="s">
        <v>30</v>
      </c>
      <c r="Y8" s="44"/>
      <c r="Z8" s="37" t="s">
        <v>502</v>
      </c>
      <c r="AA8" s="44"/>
      <c r="AB8" s="37" t="s">
        <v>503</v>
      </c>
      <c r="AC8" s="44"/>
      <c r="AD8" s="37" t="s">
        <v>295</v>
      </c>
      <c r="AE8" s="44"/>
      <c r="AF8" s="37" t="s">
        <v>418</v>
      </c>
      <c r="AG8" s="44"/>
      <c r="AH8" s="45" t="s">
        <v>26</v>
      </c>
    </row>
    <row r="9" spans="1:66" s="28" customFormat="1" hidden="1">
      <c r="A9" s="4">
        <v>2</v>
      </c>
      <c r="B9" s="4" t="s">
        <v>428</v>
      </c>
      <c r="C9" s="4"/>
      <c r="D9" s="4" t="s">
        <v>95</v>
      </c>
      <c r="E9" s="4"/>
      <c r="F9" s="4">
        <v>0</v>
      </c>
      <c r="G9" s="4"/>
      <c r="H9" s="4">
        <v>0</v>
      </c>
      <c r="I9" s="4"/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0</v>
      </c>
      <c r="S9" s="4"/>
      <c r="T9" s="4">
        <v>0</v>
      </c>
      <c r="U9" s="4"/>
      <c r="V9" s="4">
        <v>0</v>
      </c>
      <c r="W9" s="4"/>
      <c r="X9" s="4">
        <v>0</v>
      </c>
      <c r="Y9" s="4"/>
      <c r="Z9" s="4">
        <v>0</v>
      </c>
      <c r="AA9" s="4"/>
      <c r="AB9" s="4">
        <v>0</v>
      </c>
      <c r="AC9" s="4"/>
      <c r="AD9" s="4">
        <v>0</v>
      </c>
      <c r="AE9" s="4"/>
      <c r="AF9" s="4">
        <v>0</v>
      </c>
      <c r="AG9" s="4"/>
      <c r="AH9" s="4">
        <f t="shared" ref="AH9:AH40" si="0">SUM(F9:AD9)</f>
        <v>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7" customFormat="1" hidden="1">
      <c r="A10" s="4">
        <v>75</v>
      </c>
      <c r="B10" s="4" t="s">
        <v>429</v>
      </c>
      <c r="C10" s="4"/>
      <c r="D10" s="4" t="s">
        <v>90</v>
      </c>
      <c r="E10" s="4"/>
      <c r="F10" s="4">
        <v>0</v>
      </c>
      <c r="G10" s="4"/>
      <c r="H10" s="4">
        <v>0</v>
      </c>
      <c r="I10" s="4"/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0</v>
      </c>
      <c r="S10" s="4"/>
      <c r="T10" s="4">
        <v>0</v>
      </c>
      <c r="U10" s="4"/>
      <c r="V10" s="4">
        <v>0</v>
      </c>
      <c r="W10" s="4"/>
      <c r="X10" s="4">
        <v>0</v>
      </c>
      <c r="Y10" s="4"/>
      <c r="Z10" s="4">
        <v>0</v>
      </c>
      <c r="AA10" s="4"/>
      <c r="AB10" s="4">
        <v>0</v>
      </c>
      <c r="AC10" s="4"/>
      <c r="AD10" s="4">
        <v>0</v>
      </c>
      <c r="AE10" s="4"/>
      <c r="AF10" s="4">
        <v>0</v>
      </c>
      <c r="AG10" s="4"/>
      <c r="AH10" s="4">
        <f t="shared" si="0"/>
        <v>0</v>
      </c>
    </row>
    <row r="11" spans="1:66" s="4" customFormat="1" hidden="1">
      <c r="A11" s="4">
        <v>80</v>
      </c>
      <c r="B11" s="4" t="s">
        <v>265</v>
      </c>
      <c r="D11" s="4" t="s">
        <v>90</v>
      </c>
      <c r="F11" s="4">
        <v>0</v>
      </c>
      <c r="H11" s="4">
        <v>0</v>
      </c>
      <c r="J11" s="4">
        <v>0</v>
      </c>
      <c r="L11" s="4">
        <v>0</v>
      </c>
      <c r="N11" s="4">
        <v>0</v>
      </c>
      <c r="P11" s="4">
        <v>0</v>
      </c>
      <c r="R11" s="4">
        <v>0</v>
      </c>
      <c r="T11" s="4">
        <v>0</v>
      </c>
      <c r="V11" s="4">
        <v>0</v>
      </c>
      <c r="X11" s="4">
        <v>0</v>
      </c>
      <c r="Z11" s="4">
        <v>0</v>
      </c>
      <c r="AB11" s="4">
        <v>0</v>
      </c>
      <c r="AD11" s="4">
        <v>0</v>
      </c>
      <c r="AF11" s="4">
        <v>0</v>
      </c>
      <c r="AH11" s="4">
        <f t="shared" si="0"/>
        <v>0</v>
      </c>
    </row>
    <row r="12" spans="1:66" s="4" customFormat="1" hidden="1">
      <c r="A12" s="4">
        <v>117</v>
      </c>
      <c r="B12" s="4" t="s">
        <v>221</v>
      </c>
      <c r="D12" s="4" t="s">
        <v>168</v>
      </c>
      <c r="F12" s="4">
        <v>0</v>
      </c>
      <c r="H12" s="4">
        <v>0</v>
      </c>
      <c r="J12" s="4">
        <v>0</v>
      </c>
      <c r="L12" s="4">
        <v>0</v>
      </c>
      <c r="N12" s="4">
        <v>0</v>
      </c>
      <c r="P12" s="4">
        <v>0</v>
      </c>
      <c r="R12" s="4">
        <v>0</v>
      </c>
      <c r="T12" s="4">
        <v>0</v>
      </c>
      <c r="V12" s="4">
        <v>0</v>
      </c>
      <c r="X12" s="4">
        <v>0</v>
      </c>
      <c r="Z12" s="4">
        <v>0</v>
      </c>
      <c r="AB12" s="4">
        <v>0</v>
      </c>
      <c r="AD12" s="4">
        <v>0</v>
      </c>
      <c r="AF12" s="4">
        <v>0</v>
      </c>
      <c r="AH12" s="4">
        <f t="shared" si="0"/>
        <v>0</v>
      </c>
    </row>
    <row r="13" spans="1:66" s="4" customFormat="1" hidden="1">
      <c r="A13" s="4">
        <v>135</v>
      </c>
      <c r="B13" s="4" t="s">
        <v>435</v>
      </c>
      <c r="D13" s="4" t="s">
        <v>39</v>
      </c>
      <c r="F13" s="4">
        <v>0</v>
      </c>
      <c r="H13" s="4">
        <v>0</v>
      </c>
      <c r="J13" s="4">
        <v>0</v>
      </c>
      <c r="L13" s="4">
        <v>0</v>
      </c>
      <c r="N13" s="4">
        <v>0</v>
      </c>
      <c r="P13" s="4">
        <v>0</v>
      </c>
      <c r="R13" s="4">
        <v>0</v>
      </c>
      <c r="T13" s="4">
        <v>0</v>
      </c>
      <c r="V13" s="4">
        <v>0</v>
      </c>
      <c r="X13" s="4">
        <v>0</v>
      </c>
      <c r="Z13" s="4">
        <v>0</v>
      </c>
      <c r="AB13" s="4">
        <v>0</v>
      </c>
      <c r="AD13" s="4">
        <v>0</v>
      </c>
      <c r="AF13" s="4">
        <v>0</v>
      </c>
      <c r="AH13" s="4">
        <f t="shared" si="0"/>
        <v>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7" customFormat="1" hidden="1">
      <c r="A14" s="4">
        <v>152</v>
      </c>
      <c r="B14" s="4" t="s">
        <v>212</v>
      </c>
      <c r="C14" s="4"/>
      <c r="D14" s="4" t="s">
        <v>213</v>
      </c>
      <c r="E14" s="4"/>
      <c r="F14" s="4">
        <v>0</v>
      </c>
      <c r="G14" s="4"/>
      <c r="H14" s="4">
        <v>0</v>
      </c>
      <c r="I14" s="4"/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0</v>
      </c>
      <c r="S14" s="4"/>
      <c r="T14" s="4">
        <v>0</v>
      </c>
      <c r="U14" s="4"/>
      <c r="V14" s="4">
        <v>0</v>
      </c>
      <c r="W14" s="4"/>
      <c r="X14" s="4">
        <v>0</v>
      </c>
      <c r="Y14" s="4"/>
      <c r="Z14" s="4">
        <v>0</v>
      </c>
      <c r="AA14" s="4"/>
      <c r="AB14" s="4">
        <v>0</v>
      </c>
      <c r="AC14" s="4"/>
      <c r="AD14" s="4">
        <v>0</v>
      </c>
      <c r="AE14" s="4"/>
      <c r="AF14" s="4">
        <v>0</v>
      </c>
      <c r="AG14" s="4"/>
      <c r="AH14" s="4">
        <f t="shared" si="0"/>
        <v>0</v>
      </c>
    </row>
    <row r="15" spans="1:66" s="4" customFormat="1" hidden="1">
      <c r="A15" s="4">
        <v>180</v>
      </c>
      <c r="B15" s="4" t="s">
        <v>251</v>
      </c>
      <c r="D15" s="4" t="s">
        <v>104</v>
      </c>
      <c r="F15" s="4">
        <v>0</v>
      </c>
      <c r="H15" s="4">
        <v>0</v>
      </c>
      <c r="J15" s="4">
        <v>0</v>
      </c>
      <c r="L15" s="4">
        <v>0</v>
      </c>
      <c r="N15" s="4">
        <v>0</v>
      </c>
      <c r="P15" s="4">
        <v>0</v>
      </c>
      <c r="R15" s="4">
        <v>0</v>
      </c>
      <c r="T15" s="4">
        <v>0</v>
      </c>
      <c r="V15" s="4">
        <v>0</v>
      </c>
      <c r="X15" s="4">
        <v>0</v>
      </c>
      <c r="Z15" s="4">
        <v>0</v>
      </c>
      <c r="AB15" s="4">
        <v>0</v>
      </c>
      <c r="AD15" s="4">
        <v>0</v>
      </c>
      <c r="AF15" s="4">
        <v>0</v>
      </c>
      <c r="AH15" s="4">
        <f t="shared" si="0"/>
        <v>0</v>
      </c>
    </row>
    <row r="16" spans="1:66" s="4" customFormat="1" hidden="1">
      <c r="A16" s="4">
        <v>185</v>
      </c>
      <c r="B16" s="4" t="s">
        <v>228</v>
      </c>
      <c r="D16" s="4" t="s">
        <v>227</v>
      </c>
      <c r="F16" s="4">
        <v>0</v>
      </c>
      <c r="H16" s="4">
        <v>0</v>
      </c>
      <c r="J16" s="4">
        <v>0</v>
      </c>
      <c r="L16" s="4">
        <v>0</v>
      </c>
      <c r="N16" s="4">
        <v>0</v>
      </c>
      <c r="P16" s="4">
        <v>0</v>
      </c>
      <c r="R16" s="4">
        <v>0</v>
      </c>
      <c r="T16" s="4">
        <v>0</v>
      </c>
      <c r="V16" s="4">
        <v>0</v>
      </c>
      <c r="X16" s="4">
        <v>0</v>
      </c>
      <c r="Z16" s="4">
        <v>0</v>
      </c>
      <c r="AB16" s="4">
        <v>0</v>
      </c>
      <c r="AD16" s="4">
        <v>0</v>
      </c>
      <c r="AF16" s="4">
        <v>0</v>
      </c>
      <c r="AH16" s="4">
        <f t="shared" si="0"/>
        <v>0</v>
      </c>
    </row>
    <row r="17" spans="1:66" s="4" customFormat="1" hidden="1">
      <c r="A17" s="4">
        <v>189</v>
      </c>
      <c r="B17" s="4" t="s">
        <v>443</v>
      </c>
      <c r="D17" s="4" t="s">
        <v>234</v>
      </c>
      <c r="F17" s="4">
        <v>0</v>
      </c>
      <c r="H17" s="4">
        <v>0</v>
      </c>
      <c r="J17" s="4">
        <v>0</v>
      </c>
      <c r="L17" s="4">
        <v>0</v>
      </c>
      <c r="N17" s="4">
        <v>0</v>
      </c>
      <c r="P17" s="4">
        <v>0</v>
      </c>
      <c r="R17" s="4">
        <v>0</v>
      </c>
      <c r="T17" s="4">
        <v>0</v>
      </c>
      <c r="V17" s="4">
        <v>0</v>
      </c>
      <c r="X17" s="4">
        <v>0</v>
      </c>
      <c r="Z17" s="4">
        <v>0</v>
      </c>
      <c r="AB17" s="4">
        <v>0</v>
      </c>
      <c r="AD17" s="4">
        <v>0</v>
      </c>
      <c r="AF17" s="4">
        <v>0</v>
      </c>
      <c r="AH17" s="4">
        <f t="shared" si="0"/>
        <v>0</v>
      </c>
    </row>
    <row r="18" spans="1:66" s="4" customFormat="1" hidden="1">
      <c r="A18" s="4">
        <v>233</v>
      </c>
      <c r="B18" s="4" t="s">
        <v>33</v>
      </c>
      <c r="D18" s="4" t="s">
        <v>24</v>
      </c>
      <c r="F18" s="4">
        <v>0</v>
      </c>
      <c r="H18" s="4">
        <v>0</v>
      </c>
      <c r="J18" s="4">
        <v>0</v>
      </c>
      <c r="L18" s="4">
        <v>0</v>
      </c>
      <c r="N18" s="4">
        <v>0</v>
      </c>
      <c r="P18" s="4">
        <v>0</v>
      </c>
      <c r="R18" s="4">
        <v>0</v>
      </c>
      <c r="T18" s="4">
        <v>0</v>
      </c>
      <c r="V18" s="4">
        <v>0</v>
      </c>
      <c r="X18" s="4">
        <v>0</v>
      </c>
      <c r="Z18" s="4">
        <v>0</v>
      </c>
      <c r="AB18" s="4">
        <v>0</v>
      </c>
      <c r="AD18" s="4">
        <v>0</v>
      </c>
      <c r="AF18" s="4">
        <v>0</v>
      </c>
      <c r="AH18" s="4">
        <f t="shared" si="0"/>
        <v>0</v>
      </c>
    </row>
    <row r="19" spans="1:66" s="14" customFormat="1" hidden="1">
      <c r="A19" s="4">
        <v>234</v>
      </c>
      <c r="B19" s="4" t="s">
        <v>199</v>
      </c>
      <c r="C19" s="4"/>
      <c r="D19" s="4" t="s">
        <v>24</v>
      </c>
      <c r="E19" s="4"/>
      <c r="F19" s="4">
        <v>0</v>
      </c>
      <c r="G19" s="4"/>
      <c r="H19" s="4">
        <v>0</v>
      </c>
      <c r="I19" s="4"/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0</v>
      </c>
      <c r="S19" s="4"/>
      <c r="T19" s="4">
        <v>0</v>
      </c>
      <c r="U19" s="4"/>
      <c r="V19" s="4">
        <v>0</v>
      </c>
      <c r="W19" s="4"/>
      <c r="X19" s="4">
        <v>0</v>
      </c>
      <c r="Y19" s="4"/>
      <c r="Z19" s="4">
        <v>0</v>
      </c>
      <c r="AA19" s="4"/>
      <c r="AB19" s="4">
        <v>0</v>
      </c>
      <c r="AC19" s="4"/>
      <c r="AD19" s="4">
        <v>0</v>
      </c>
      <c r="AE19" s="4"/>
      <c r="AF19" s="4">
        <v>0</v>
      </c>
      <c r="AG19" s="4"/>
      <c r="AH19" s="4">
        <f t="shared" si="0"/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</row>
    <row r="20" spans="1:66" s="7" customFormat="1" ht="11.25" customHeight="1">
      <c r="A20" s="7">
        <v>95</v>
      </c>
      <c r="B20" s="7" t="s">
        <v>71</v>
      </c>
      <c r="D20" s="7" t="s">
        <v>59</v>
      </c>
      <c r="F20" s="75">
        <v>0</v>
      </c>
      <c r="G20" s="75"/>
      <c r="H20" s="75">
        <v>234215.67999999999</v>
      </c>
      <c r="I20" s="75"/>
      <c r="J20" s="75">
        <v>0</v>
      </c>
      <c r="K20" s="75"/>
      <c r="L20" s="75">
        <v>7129.83</v>
      </c>
      <c r="M20" s="75"/>
      <c r="N20" s="75">
        <v>0</v>
      </c>
      <c r="O20" s="75"/>
      <c r="P20" s="75">
        <v>0</v>
      </c>
      <c r="Q20" s="75"/>
      <c r="R20" s="75">
        <v>21443.8</v>
      </c>
      <c r="S20" s="75"/>
      <c r="T20" s="75">
        <v>9502.9699999999993</v>
      </c>
      <c r="U20" s="75"/>
      <c r="V20" s="75">
        <v>0</v>
      </c>
      <c r="W20" s="75"/>
      <c r="X20" s="75">
        <v>0</v>
      </c>
      <c r="Y20" s="75"/>
      <c r="Z20" s="75">
        <v>236.5</v>
      </c>
      <c r="AA20" s="75"/>
      <c r="AB20" s="75">
        <v>0</v>
      </c>
      <c r="AC20" s="75"/>
      <c r="AD20" s="75">
        <v>0</v>
      </c>
      <c r="AE20" s="75"/>
      <c r="AF20" s="75">
        <v>0</v>
      </c>
      <c r="AG20" s="75"/>
      <c r="AH20" s="75">
        <f>SUM(F20:AF20)</f>
        <v>272528.77999999997</v>
      </c>
    </row>
    <row r="21" spans="1:66" s="4" customFormat="1">
      <c r="A21" s="4">
        <v>1</v>
      </c>
      <c r="B21" s="4" t="s">
        <v>72</v>
      </c>
      <c r="D21" s="4" t="s">
        <v>38</v>
      </c>
      <c r="F21" s="6">
        <v>0</v>
      </c>
      <c r="G21" s="6"/>
      <c r="H21" s="6">
        <v>800375.15</v>
      </c>
      <c r="I21" s="6"/>
      <c r="J21" s="6">
        <v>18200</v>
      </c>
      <c r="K21" s="6"/>
      <c r="L21" s="6">
        <v>24598.97</v>
      </c>
      <c r="M21" s="6"/>
      <c r="N21" s="6">
        <v>0</v>
      </c>
      <c r="O21" s="6"/>
      <c r="P21" s="6">
        <v>0</v>
      </c>
      <c r="Q21" s="6"/>
      <c r="R21" s="6">
        <v>678.99</v>
      </c>
      <c r="S21" s="6"/>
      <c r="T21" s="6">
        <v>28067.75</v>
      </c>
      <c r="U21" s="6"/>
      <c r="V21" s="6">
        <v>466.92</v>
      </c>
      <c r="W21" s="6"/>
      <c r="X21" s="6">
        <v>0</v>
      </c>
      <c r="Y21" s="6"/>
      <c r="Z21" s="6">
        <v>28823.26</v>
      </c>
      <c r="AA21" s="6"/>
      <c r="AB21" s="6">
        <v>0</v>
      </c>
      <c r="AC21" s="6"/>
      <c r="AD21" s="6">
        <v>0</v>
      </c>
      <c r="AE21" s="6"/>
      <c r="AF21" s="6">
        <v>0</v>
      </c>
      <c r="AG21" s="6"/>
      <c r="AH21" s="6">
        <f>SUM(F21:AF21)</f>
        <v>901211.04</v>
      </c>
    </row>
    <row r="22" spans="1:66" s="4" customFormat="1">
      <c r="A22" s="4">
        <v>216</v>
      </c>
      <c r="B22" s="42" t="s">
        <v>427</v>
      </c>
      <c r="C22" s="42"/>
      <c r="D22" s="42" t="s">
        <v>20</v>
      </c>
      <c r="E22" s="42"/>
      <c r="F22" s="66">
        <v>15834535</v>
      </c>
      <c r="G22" s="66"/>
      <c r="H22" s="66">
        <v>0</v>
      </c>
      <c r="I22" s="66"/>
      <c r="J22" s="66">
        <v>13858141</v>
      </c>
      <c r="K22" s="66"/>
      <c r="L22" s="66">
        <v>592591</v>
      </c>
      <c r="M22" s="66"/>
      <c r="N22" s="66">
        <v>0</v>
      </c>
      <c r="O22" s="66"/>
      <c r="P22" s="66">
        <v>0</v>
      </c>
      <c r="Q22" s="66"/>
      <c r="R22" s="66">
        <v>20407</v>
      </c>
      <c r="S22" s="66"/>
      <c r="T22" s="66">
        <v>21345</v>
      </c>
      <c r="U22" s="66"/>
      <c r="V22" s="66">
        <v>235380</v>
      </c>
      <c r="W22" s="66"/>
      <c r="X22" s="66">
        <v>0</v>
      </c>
      <c r="Y22" s="66"/>
      <c r="Z22" s="66">
        <v>30095</v>
      </c>
      <c r="AA22" s="66"/>
      <c r="AB22" s="66">
        <v>51800</v>
      </c>
      <c r="AC22" s="66"/>
      <c r="AD22" s="66">
        <f>26225+3064015</f>
        <v>3090240</v>
      </c>
      <c r="AE22" s="15"/>
      <c r="AF22" s="15">
        <v>0</v>
      </c>
      <c r="AG22" s="15"/>
      <c r="AH22" s="4">
        <f t="shared" si="0"/>
        <v>33734534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4" customFormat="1">
      <c r="A23" s="4">
        <v>131</v>
      </c>
      <c r="B23" s="4" t="s">
        <v>504</v>
      </c>
      <c r="D23" s="4" t="s">
        <v>39</v>
      </c>
      <c r="F23" s="6">
        <v>0</v>
      </c>
      <c r="G23" s="6"/>
      <c r="H23" s="6">
        <v>254928.77</v>
      </c>
      <c r="I23" s="6"/>
      <c r="J23" s="6">
        <v>3422</v>
      </c>
      <c r="K23" s="6"/>
      <c r="L23" s="6">
        <v>5142.42</v>
      </c>
      <c r="M23" s="6"/>
      <c r="N23" s="6">
        <v>0</v>
      </c>
      <c r="O23" s="6"/>
      <c r="P23" s="6">
        <v>0</v>
      </c>
      <c r="Q23" s="6"/>
      <c r="R23" s="6">
        <v>655.5</v>
      </c>
      <c r="S23" s="6"/>
      <c r="T23" s="6">
        <v>335.89</v>
      </c>
      <c r="U23" s="6"/>
      <c r="V23" s="6">
        <v>994.85</v>
      </c>
      <c r="W23" s="6"/>
      <c r="X23" s="6">
        <v>1311.67</v>
      </c>
      <c r="Y23" s="6"/>
      <c r="Z23" s="6">
        <v>0</v>
      </c>
      <c r="AA23" s="6"/>
      <c r="AB23" s="6">
        <v>0</v>
      </c>
      <c r="AC23" s="6"/>
      <c r="AD23" s="6">
        <v>0</v>
      </c>
      <c r="AE23" s="6"/>
      <c r="AF23" s="6">
        <v>0</v>
      </c>
      <c r="AG23" s="6"/>
      <c r="AH23" s="6">
        <f>SUM(F23:AF23)</f>
        <v>266791.09999999998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4" customFormat="1">
      <c r="A24" s="4">
        <v>96</v>
      </c>
      <c r="B24" s="4" t="s">
        <v>73</v>
      </c>
      <c r="D24" s="4" t="s">
        <v>59</v>
      </c>
      <c r="F24" s="6">
        <v>0</v>
      </c>
      <c r="G24" s="6"/>
      <c r="H24" s="6">
        <v>56119.34</v>
      </c>
      <c r="I24" s="6"/>
      <c r="J24" s="6">
        <v>551.25</v>
      </c>
      <c r="K24" s="6"/>
      <c r="L24" s="6">
        <v>1600.95</v>
      </c>
      <c r="M24" s="6"/>
      <c r="N24" s="6">
        <v>0</v>
      </c>
      <c r="O24" s="6"/>
      <c r="P24" s="6">
        <v>0</v>
      </c>
      <c r="Q24" s="6"/>
      <c r="R24" s="6">
        <v>670</v>
      </c>
      <c r="S24" s="6"/>
      <c r="T24" s="6">
        <v>36.43</v>
      </c>
      <c r="U24" s="6"/>
      <c r="V24" s="6">
        <v>2247.4699999999998</v>
      </c>
      <c r="W24" s="6"/>
      <c r="X24" s="6">
        <v>0</v>
      </c>
      <c r="Y24" s="6"/>
      <c r="Z24" s="6">
        <v>0</v>
      </c>
      <c r="AA24" s="6"/>
      <c r="AB24" s="6">
        <v>0</v>
      </c>
      <c r="AC24" s="6"/>
      <c r="AD24" s="6">
        <v>0</v>
      </c>
      <c r="AE24" s="6"/>
      <c r="AF24" s="6">
        <v>0</v>
      </c>
      <c r="AG24" s="6"/>
      <c r="AH24" s="6">
        <f>SUM(F24:AF24)</f>
        <v>61225.439999999995</v>
      </c>
    </row>
    <row r="25" spans="1:66" s="4" customFormat="1">
      <c r="A25" s="4">
        <v>140</v>
      </c>
      <c r="B25" s="4" t="s">
        <v>444</v>
      </c>
      <c r="D25" s="4" t="s">
        <v>55</v>
      </c>
      <c r="F25" s="73">
        <v>300182.27</v>
      </c>
      <c r="G25" s="73"/>
      <c r="H25" s="73">
        <v>831571.03</v>
      </c>
      <c r="I25" s="73"/>
      <c r="J25" s="73">
        <v>40923.279999999999</v>
      </c>
      <c r="K25" s="73"/>
      <c r="L25" s="73">
        <v>31437.040000000001</v>
      </c>
      <c r="M25" s="73"/>
      <c r="N25" s="73">
        <v>0</v>
      </c>
      <c r="O25" s="73"/>
      <c r="P25" s="73">
        <v>0</v>
      </c>
      <c r="Q25" s="73"/>
      <c r="R25" s="73">
        <v>4208.3999999999996</v>
      </c>
      <c r="S25" s="73"/>
      <c r="T25" s="73">
        <v>2026.59</v>
      </c>
      <c r="U25" s="73"/>
      <c r="V25" s="73">
        <v>2387.84</v>
      </c>
      <c r="W25" s="73"/>
      <c r="X25" s="73">
        <v>0</v>
      </c>
      <c r="Y25" s="73"/>
      <c r="Z25" s="73">
        <v>0</v>
      </c>
      <c r="AA25" s="73"/>
      <c r="AB25" s="73">
        <v>0</v>
      </c>
      <c r="AC25" s="73"/>
      <c r="AD25" s="73">
        <v>0</v>
      </c>
      <c r="AE25" s="73"/>
      <c r="AF25" s="73">
        <v>0</v>
      </c>
      <c r="AG25" s="73"/>
      <c r="AH25" s="73">
        <f>SUM(F25:AF25)</f>
        <v>1212736.4500000002</v>
      </c>
    </row>
    <row r="26" spans="1:66" s="4" customFormat="1" hidden="1">
      <c r="A26" s="4">
        <v>208</v>
      </c>
      <c r="B26" s="4" t="s">
        <v>75</v>
      </c>
      <c r="D26" s="4" t="s">
        <v>76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7"/>
      <c r="AF26" s="77"/>
      <c r="AG26" s="77"/>
      <c r="AH26" s="77">
        <f t="shared" si="0"/>
        <v>0</v>
      </c>
    </row>
    <row r="27" spans="1:66" s="4" customFormat="1">
      <c r="A27" s="4">
        <v>8</v>
      </c>
      <c r="B27" s="4" t="s">
        <v>77</v>
      </c>
      <c r="D27" s="4" t="s">
        <v>41</v>
      </c>
      <c r="F27" s="73">
        <v>0</v>
      </c>
      <c r="G27" s="73"/>
      <c r="H27" s="73">
        <v>219727.71</v>
      </c>
      <c r="I27" s="73"/>
      <c r="J27" s="73">
        <v>3132</v>
      </c>
      <c r="K27" s="73"/>
      <c r="L27" s="73">
        <v>9637.14</v>
      </c>
      <c r="M27" s="73"/>
      <c r="N27" s="73">
        <v>0</v>
      </c>
      <c r="O27" s="73"/>
      <c r="P27" s="73">
        <v>7163.33</v>
      </c>
      <c r="Q27" s="73"/>
      <c r="R27" s="73">
        <v>26627.8</v>
      </c>
      <c r="S27" s="73"/>
      <c r="T27" s="73">
        <v>2201.06</v>
      </c>
      <c r="U27" s="73"/>
      <c r="V27" s="73">
        <v>9824.49</v>
      </c>
      <c r="W27" s="73"/>
      <c r="X27" s="73">
        <v>0</v>
      </c>
      <c r="Y27" s="73"/>
      <c r="Z27" s="73">
        <v>0</v>
      </c>
      <c r="AA27" s="73"/>
      <c r="AB27" s="73">
        <v>0</v>
      </c>
      <c r="AC27" s="73"/>
      <c r="AD27" s="73">
        <v>0</v>
      </c>
      <c r="AE27" s="73"/>
      <c r="AF27" s="73">
        <v>0</v>
      </c>
      <c r="AG27" s="73"/>
      <c r="AH27" s="73">
        <f>SUM(F27:AF27)</f>
        <v>278313.52999999997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s="4" customFormat="1">
      <c r="A28" s="4">
        <v>58</v>
      </c>
      <c r="B28" s="4" t="s">
        <v>78</v>
      </c>
      <c r="D28" s="4" t="s">
        <v>79</v>
      </c>
      <c r="F28" s="6">
        <v>0</v>
      </c>
      <c r="G28" s="6"/>
      <c r="H28" s="6">
        <v>265815.62</v>
      </c>
      <c r="I28" s="6"/>
      <c r="J28" s="6">
        <v>0</v>
      </c>
      <c r="K28" s="6"/>
      <c r="L28" s="6">
        <v>7429.78</v>
      </c>
      <c r="M28" s="6"/>
      <c r="N28" s="6">
        <v>0</v>
      </c>
      <c r="O28" s="6"/>
      <c r="P28" s="6">
        <v>0</v>
      </c>
      <c r="Q28" s="6"/>
      <c r="R28" s="6">
        <v>5151.91</v>
      </c>
      <c r="S28" s="6"/>
      <c r="T28" s="6">
        <v>2758.53</v>
      </c>
      <c r="U28" s="6"/>
      <c r="V28" s="6">
        <v>92.62</v>
      </c>
      <c r="W28" s="6"/>
      <c r="X28" s="6">
        <v>0</v>
      </c>
      <c r="Y28" s="6"/>
      <c r="Z28" s="6">
        <v>0</v>
      </c>
      <c r="AA28" s="6"/>
      <c r="AB28" s="6">
        <v>0</v>
      </c>
      <c r="AC28" s="6"/>
      <c r="AD28" s="6">
        <v>0</v>
      </c>
      <c r="AE28" s="6"/>
      <c r="AF28" s="6">
        <v>0</v>
      </c>
      <c r="AG28" s="6"/>
      <c r="AH28" s="6">
        <f>SUM(F28:AF28)</f>
        <v>281248.46000000002</v>
      </c>
    </row>
    <row r="29" spans="1:66" s="4" customFormat="1">
      <c r="A29" s="4">
        <v>82</v>
      </c>
      <c r="B29" s="4" t="s">
        <v>296</v>
      </c>
      <c r="D29" s="4" t="s">
        <v>40</v>
      </c>
      <c r="F29" s="6">
        <v>124824.06</v>
      </c>
      <c r="G29" s="6"/>
      <c r="H29" s="6">
        <v>216751.51</v>
      </c>
      <c r="I29" s="6"/>
      <c r="J29" s="6">
        <v>38085.39</v>
      </c>
      <c r="K29" s="6"/>
      <c r="L29" s="6">
        <v>10373.19</v>
      </c>
      <c r="M29" s="6"/>
      <c r="N29" s="6">
        <v>0</v>
      </c>
      <c r="O29" s="6"/>
      <c r="P29" s="6">
        <v>0</v>
      </c>
      <c r="Q29" s="6"/>
      <c r="R29" s="6">
        <v>5940.39</v>
      </c>
      <c r="S29" s="6"/>
      <c r="T29" s="6">
        <v>4772.22</v>
      </c>
      <c r="U29" s="6"/>
      <c r="V29" s="6">
        <v>4784.78</v>
      </c>
      <c r="W29" s="6"/>
      <c r="X29" s="6">
        <v>0</v>
      </c>
      <c r="Y29" s="6"/>
      <c r="Z29" s="6">
        <v>0</v>
      </c>
      <c r="AA29" s="6"/>
      <c r="AB29" s="6">
        <v>0</v>
      </c>
      <c r="AC29" s="6"/>
      <c r="AD29" s="6">
        <v>0</v>
      </c>
      <c r="AE29" s="6"/>
      <c r="AF29" s="6">
        <v>0</v>
      </c>
      <c r="AG29" s="6"/>
      <c r="AH29" s="6">
        <f>SUM(F29:AF29)</f>
        <v>405531.54000000004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" customFormat="1">
      <c r="A30" s="4">
        <v>6</v>
      </c>
      <c r="B30" s="4" t="s">
        <v>80</v>
      </c>
      <c r="D30" s="4" t="s">
        <v>81</v>
      </c>
      <c r="F30" s="67">
        <v>454743</v>
      </c>
      <c r="G30" s="66"/>
      <c r="H30" s="67">
        <v>1010284</v>
      </c>
      <c r="I30" s="66"/>
      <c r="J30" s="66">
        <v>0</v>
      </c>
      <c r="K30" s="66"/>
      <c r="L30" s="67">
        <v>50448</v>
      </c>
      <c r="M30" s="66"/>
      <c r="N30" s="66">
        <v>0</v>
      </c>
      <c r="O30" s="66"/>
      <c r="P30" s="67">
        <v>1413</v>
      </c>
      <c r="Q30" s="66"/>
      <c r="R30" s="67">
        <v>32592</v>
      </c>
      <c r="S30" s="66"/>
      <c r="T30" s="67">
        <v>35056</v>
      </c>
      <c r="U30" s="66"/>
      <c r="V30" s="67">
        <v>13283</v>
      </c>
      <c r="W30" s="66"/>
      <c r="X30" s="66">
        <v>0</v>
      </c>
      <c r="Y30" s="66"/>
      <c r="Z30" s="66">
        <v>50600</v>
      </c>
      <c r="AA30" s="66"/>
      <c r="AB30" s="66">
        <v>0</v>
      </c>
      <c r="AC30" s="66"/>
      <c r="AD30" s="66">
        <v>0</v>
      </c>
      <c r="AF30" s="4">
        <v>0</v>
      </c>
      <c r="AH30" s="4">
        <f t="shared" si="0"/>
        <v>1648419</v>
      </c>
    </row>
    <row r="31" spans="1:66" s="4" customFormat="1">
      <c r="A31" s="4">
        <v>9</v>
      </c>
      <c r="B31" s="4" t="s">
        <v>331</v>
      </c>
      <c r="D31" s="4" t="s">
        <v>41</v>
      </c>
      <c r="F31" s="6">
        <v>1250693.21</v>
      </c>
      <c r="G31" s="6"/>
      <c r="H31" s="6">
        <v>0</v>
      </c>
      <c r="I31" s="6"/>
      <c r="J31" s="6">
        <v>0</v>
      </c>
      <c r="K31" s="6"/>
      <c r="L31" s="6">
        <v>31763.13</v>
      </c>
      <c r="M31" s="6"/>
      <c r="N31" s="6">
        <v>0</v>
      </c>
      <c r="O31" s="6"/>
      <c r="P31" s="6">
        <v>0</v>
      </c>
      <c r="Q31" s="6"/>
      <c r="R31" s="6">
        <v>22256.78</v>
      </c>
      <c r="S31" s="6"/>
      <c r="T31" s="6">
        <v>49417.09</v>
      </c>
      <c r="U31" s="6"/>
      <c r="V31" s="6">
        <v>4583.58</v>
      </c>
      <c r="W31" s="6"/>
      <c r="X31" s="6">
        <v>0</v>
      </c>
      <c r="Y31" s="6"/>
      <c r="Z31" s="6">
        <v>0</v>
      </c>
      <c r="AA31" s="6"/>
      <c r="AB31" s="6">
        <v>0</v>
      </c>
      <c r="AC31" s="6"/>
      <c r="AD31" s="6">
        <v>0</v>
      </c>
      <c r="AE31" s="6"/>
      <c r="AF31" s="6">
        <v>0</v>
      </c>
      <c r="AG31" s="6"/>
      <c r="AH31" s="6">
        <f>SUM(F31:AF31)</f>
        <v>1358713.79</v>
      </c>
    </row>
    <row r="32" spans="1:66" s="4" customFormat="1">
      <c r="B32" s="4" t="s">
        <v>634</v>
      </c>
      <c r="D32" s="4" t="s">
        <v>208</v>
      </c>
      <c r="F32" s="6">
        <v>0</v>
      </c>
      <c r="G32" s="6"/>
      <c r="H32" s="6">
        <v>1775016.03</v>
      </c>
      <c r="I32" s="6"/>
      <c r="J32" s="6">
        <v>6319.41</v>
      </c>
      <c r="K32" s="6"/>
      <c r="L32" s="6">
        <v>29020.42</v>
      </c>
      <c r="M32" s="6"/>
      <c r="N32" s="6">
        <v>0</v>
      </c>
      <c r="O32" s="6"/>
      <c r="P32" s="6">
        <v>0</v>
      </c>
      <c r="Q32" s="6"/>
      <c r="R32" s="6">
        <v>56358.1</v>
      </c>
      <c r="S32" s="6"/>
      <c r="T32" s="6">
        <v>1538.54</v>
      </c>
      <c r="U32" s="6"/>
      <c r="V32" s="6">
        <v>11505.25</v>
      </c>
      <c r="W32" s="6"/>
      <c r="X32" s="6">
        <v>0</v>
      </c>
      <c r="Y32" s="6"/>
      <c r="Z32" s="6">
        <v>0</v>
      </c>
      <c r="AA32" s="6"/>
      <c r="AB32" s="6">
        <v>0</v>
      </c>
      <c r="AC32" s="6"/>
      <c r="AD32" s="6">
        <v>0</v>
      </c>
      <c r="AE32" s="6"/>
      <c r="AF32" s="6">
        <v>0</v>
      </c>
      <c r="AG32" s="6"/>
      <c r="AH32" s="6">
        <f>SUM(F32:AF32)</f>
        <v>1879757.75</v>
      </c>
    </row>
    <row r="33" spans="1:66" s="4" customFormat="1">
      <c r="A33" s="4">
        <v>17</v>
      </c>
      <c r="B33" s="4" t="s">
        <v>582</v>
      </c>
      <c r="D33" s="4" t="s">
        <v>42</v>
      </c>
      <c r="F33" s="6">
        <v>0</v>
      </c>
      <c r="G33" s="6"/>
      <c r="H33" s="6">
        <v>990737.75</v>
      </c>
      <c r="I33" s="6"/>
      <c r="J33" s="6">
        <v>0</v>
      </c>
      <c r="K33" s="6"/>
      <c r="L33" s="6">
        <v>15440.91</v>
      </c>
      <c r="M33" s="6"/>
      <c r="N33" s="6">
        <v>0</v>
      </c>
      <c r="O33" s="6"/>
      <c r="P33" s="6">
        <v>0</v>
      </c>
      <c r="Q33" s="6"/>
      <c r="R33" s="6">
        <v>25978.91</v>
      </c>
      <c r="S33" s="6"/>
      <c r="T33" s="6">
        <v>14308.38</v>
      </c>
      <c r="U33" s="6"/>
      <c r="V33" s="6">
        <v>3624.87</v>
      </c>
      <c r="W33" s="6"/>
      <c r="X33" s="6">
        <v>0</v>
      </c>
      <c r="Y33" s="6"/>
      <c r="Z33" s="6">
        <v>0</v>
      </c>
      <c r="AA33" s="6"/>
      <c r="AB33" s="6">
        <v>0</v>
      </c>
      <c r="AC33" s="6"/>
      <c r="AD33" s="6">
        <v>0</v>
      </c>
      <c r="AE33" s="6"/>
      <c r="AF33" s="6">
        <v>0</v>
      </c>
      <c r="AG33" s="6"/>
      <c r="AH33" s="6">
        <f>SUM(F33:AF33)</f>
        <v>1050090.82</v>
      </c>
    </row>
    <row r="34" spans="1:66" s="4" customFormat="1">
      <c r="A34" s="4">
        <v>141</v>
      </c>
      <c r="B34" s="4" t="s">
        <v>82</v>
      </c>
      <c r="D34" s="4" t="s">
        <v>55</v>
      </c>
      <c r="F34" s="67">
        <v>1190312</v>
      </c>
      <c r="G34" s="66"/>
      <c r="H34" s="66">
        <v>0</v>
      </c>
      <c r="I34" s="66"/>
      <c r="J34" s="67">
        <v>819795</v>
      </c>
      <c r="K34" s="66"/>
      <c r="L34" s="67">
        <v>48374</v>
      </c>
      <c r="M34" s="66"/>
      <c r="N34" s="66">
        <v>0</v>
      </c>
      <c r="O34" s="66"/>
      <c r="P34" s="66">
        <v>0</v>
      </c>
      <c r="Q34" s="66"/>
      <c r="R34" s="67">
        <v>7202</v>
      </c>
      <c r="S34" s="66"/>
      <c r="T34" s="67">
        <v>38</v>
      </c>
      <c r="U34" s="66"/>
      <c r="V34" s="67">
        <v>21724</v>
      </c>
      <c r="W34" s="66"/>
      <c r="X34" s="66">
        <v>0</v>
      </c>
      <c r="Y34" s="66"/>
      <c r="Z34" s="66">
        <v>0</v>
      </c>
      <c r="AA34" s="66"/>
      <c r="AB34" s="66">
        <v>0</v>
      </c>
      <c r="AC34" s="66"/>
      <c r="AD34" s="66">
        <v>0</v>
      </c>
      <c r="AF34" s="4">
        <v>0</v>
      </c>
      <c r="AH34" s="4">
        <f t="shared" si="0"/>
        <v>2087445</v>
      </c>
    </row>
    <row r="35" spans="1:66" s="4" customFormat="1">
      <c r="A35" s="4">
        <v>217</v>
      </c>
      <c r="B35" s="4" t="s">
        <v>445</v>
      </c>
      <c r="D35" s="4" t="s">
        <v>20</v>
      </c>
      <c r="F35" s="6">
        <v>428619.55</v>
      </c>
      <c r="G35" s="6"/>
      <c r="H35" s="6">
        <v>821743.64</v>
      </c>
      <c r="I35" s="6"/>
      <c r="J35" s="6">
        <v>74865.63</v>
      </c>
      <c r="K35" s="6"/>
      <c r="L35" s="6">
        <v>31765.79</v>
      </c>
      <c r="M35" s="6"/>
      <c r="N35" s="6">
        <v>0</v>
      </c>
      <c r="O35" s="6"/>
      <c r="P35" s="6">
        <v>0</v>
      </c>
      <c r="Q35" s="6"/>
      <c r="R35" s="6">
        <v>22164.44</v>
      </c>
      <c r="S35" s="6"/>
      <c r="T35" s="6">
        <v>11076.21</v>
      </c>
      <c r="U35" s="6"/>
      <c r="V35" s="6">
        <v>9960.16</v>
      </c>
      <c r="W35" s="6"/>
      <c r="X35" s="6">
        <v>0</v>
      </c>
      <c r="Y35" s="6"/>
      <c r="Z35" s="6">
        <v>167622.01</v>
      </c>
      <c r="AA35" s="6"/>
      <c r="AB35" s="6">
        <v>0</v>
      </c>
      <c r="AC35" s="6"/>
      <c r="AD35" s="6">
        <v>0</v>
      </c>
      <c r="AE35" s="6"/>
      <c r="AF35" s="6">
        <v>0</v>
      </c>
      <c r="AG35" s="6"/>
      <c r="AH35" s="6">
        <f>SUM(F35:AF35)</f>
        <v>1567817.4299999997</v>
      </c>
    </row>
    <row r="36" spans="1:66" s="4" customFormat="1" ht="12.75" customHeight="1">
      <c r="A36" s="4">
        <v>19</v>
      </c>
      <c r="B36" s="4" t="s">
        <v>19</v>
      </c>
      <c r="D36" s="4" t="s">
        <v>11</v>
      </c>
      <c r="F36" s="67">
        <v>408272</v>
      </c>
      <c r="G36" s="66"/>
      <c r="H36" s="66">
        <v>0</v>
      </c>
      <c r="I36" s="66"/>
      <c r="J36" s="66">
        <v>0</v>
      </c>
      <c r="K36" s="66"/>
      <c r="L36" s="67">
        <v>19110</v>
      </c>
      <c r="M36" s="66"/>
      <c r="N36" s="66">
        <v>0</v>
      </c>
      <c r="O36" s="66"/>
      <c r="P36" s="66">
        <v>0</v>
      </c>
      <c r="Q36" s="66"/>
      <c r="R36" s="67">
        <v>17820</v>
      </c>
      <c r="S36" s="66"/>
      <c r="T36" s="67">
        <v>16848</v>
      </c>
      <c r="U36" s="66"/>
      <c r="V36" s="67">
        <v>8653</v>
      </c>
      <c r="W36" s="66"/>
      <c r="X36" s="66">
        <v>0</v>
      </c>
      <c r="Y36" s="66"/>
      <c r="Z36" s="66">
        <v>30000</v>
      </c>
      <c r="AA36" s="66"/>
      <c r="AB36" s="66">
        <v>0</v>
      </c>
      <c r="AC36" s="66"/>
      <c r="AD36" s="66">
        <v>0</v>
      </c>
      <c r="AF36" s="4">
        <v>0</v>
      </c>
      <c r="AH36" s="4">
        <f t="shared" si="0"/>
        <v>500703</v>
      </c>
    </row>
    <row r="37" spans="1:66" s="4" customFormat="1">
      <c r="A37" s="4">
        <v>20</v>
      </c>
      <c r="B37" s="4" t="s">
        <v>83</v>
      </c>
      <c r="D37" s="4" t="s">
        <v>11</v>
      </c>
      <c r="F37" s="6">
        <v>0</v>
      </c>
      <c r="G37" s="6"/>
      <c r="H37" s="6">
        <v>408272</v>
      </c>
      <c r="I37" s="6"/>
      <c r="J37" s="6">
        <v>0</v>
      </c>
      <c r="K37" s="6"/>
      <c r="L37" s="6">
        <v>9135.2199999999993</v>
      </c>
      <c r="M37" s="6"/>
      <c r="N37" s="6">
        <v>0</v>
      </c>
      <c r="O37" s="6"/>
      <c r="P37" s="6">
        <v>0</v>
      </c>
      <c r="Q37" s="6"/>
      <c r="R37" s="6">
        <v>3427.4</v>
      </c>
      <c r="S37" s="6"/>
      <c r="T37" s="6">
        <v>3755.74</v>
      </c>
      <c r="U37" s="6"/>
      <c r="V37" s="6">
        <v>120.47</v>
      </c>
      <c r="W37" s="6"/>
      <c r="X37" s="6">
        <v>0</v>
      </c>
      <c r="Y37" s="6"/>
      <c r="Z37" s="6">
        <v>0</v>
      </c>
      <c r="AA37" s="6"/>
      <c r="AB37" s="6">
        <v>0</v>
      </c>
      <c r="AC37" s="6"/>
      <c r="AD37" s="6">
        <v>0</v>
      </c>
      <c r="AE37" s="6"/>
      <c r="AF37" s="6">
        <v>0</v>
      </c>
      <c r="AG37" s="6"/>
      <c r="AH37" s="6">
        <f>SUM(F37:AF37)</f>
        <v>424710.82999999996</v>
      </c>
    </row>
    <row r="38" spans="1:66" s="4" customFormat="1">
      <c r="A38" s="4">
        <v>137</v>
      </c>
      <c r="B38" s="4" t="s">
        <v>84</v>
      </c>
      <c r="D38" s="4" t="s">
        <v>85</v>
      </c>
      <c r="F38" s="66">
        <v>0</v>
      </c>
      <c r="G38" s="66"/>
      <c r="H38" s="67">
        <v>67359</v>
      </c>
      <c r="I38" s="66"/>
      <c r="J38" s="66">
        <v>0</v>
      </c>
      <c r="K38" s="66"/>
      <c r="L38" s="67">
        <v>2687</v>
      </c>
      <c r="M38" s="66"/>
      <c r="N38" s="66">
        <v>0</v>
      </c>
      <c r="O38" s="66"/>
      <c r="P38" s="66">
        <v>0</v>
      </c>
      <c r="Q38" s="66"/>
      <c r="R38" s="67">
        <v>305</v>
      </c>
      <c r="S38" s="66"/>
      <c r="T38" s="67">
        <v>3122</v>
      </c>
      <c r="U38" s="66"/>
      <c r="V38" s="67">
        <f>424+50000</f>
        <v>50424</v>
      </c>
      <c r="W38" s="66"/>
      <c r="X38" s="66">
        <v>0</v>
      </c>
      <c r="Y38" s="66"/>
      <c r="Z38" s="66">
        <v>0</v>
      </c>
      <c r="AA38" s="66"/>
      <c r="AB38" s="66">
        <v>0</v>
      </c>
      <c r="AC38" s="66"/>
      <c r="AD38" s="66">
        <v>0</v>
      </c>
      <c r="AF38" s="4">
        <v>0</v>
      </c>
      <c r="AH38" s="4">
        <f t="shared" si="0"/>
        <v>123897</v>
      </c>
    </row>
    <row r="39" spans="1:66" s="4" customFormat="1">
      <c r="A39" s="4">
        <v>110</v>
      </c>
      <c r="B39" s="4" t="s">
        <v>86</v>
      </c>
      <c r="D39" s="4" t="s">
        <v>87</v>
      </c>
      <c r="F39" s="67">
        <v>247981</v>
      </c>
      <c r="G39" s="66"/>
      <c r="H39" s="67">
        <v>554810</v>
      </c>
      <c r="I39" s="66"/>
      <c r="J39" s="67">
        <v>29243</v>
      </c>
      <c r="K39" s="66"/>
      <c r="L39" s="67">
        <v>23535</v>
      </c>
      <c r="M39" s="66"/>
      <c r="N39" s="66">
        <v>0</v>
      </c>
      <c r="O39" s="66"/>
      <c r="P39" s="66">
        <v>0</v>
      </c>
      <c r="Q39" s="66"/>
      <c r="R39" s="67">
        <v>13663</v>
      </c>
      <c r="S39" s="66"/>
      <c r="T39" s="67">
        <v>2379</v>
      </c>
      <c r="U39" s="66"/>
      <c r="V39" s="67">
        <v>30</v>
      </c>
      <c r="W39" s="66"/>
      <c r="X39" s="66">
        <v>0</v>
      </c>
      <c r="Y39" s="66"/>
      <c r="Z39" s="66">
        <v>0</v>
      </c>
      <c r="AA39" s="66"/>
      <c r="AB39" s="66">
        <v>0</v>
      </c>
      <c r="AC39" s="66"/>
      <c r="AD39" s="66">
        <v>0</v>
      </c>
      <c r="AF39" s="4">
        <v>0</v>
      </c>
      <c r="AH39" s="4">
        <f>SUM(F39:AD39)</f>
        <v>871641</v>
      </c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4" customFormat="1">
      <c r="A40" s="4">
        <v>203</v>
      </c>
      <c r="B40" s="4" t="s">
        <v>88</v>
      </c>
      <c r="D40" s="4" t="s">
        <v>43</v>
      </c>
      <c r="F40" s="67">
        <v>9222</v>
      </c>
      <c r="G40" s="66"/>
      <c r="H40" s="67">
        <v>115014</v>
      </c>
      <c r="I40" s="66"/>
      <c r="J40" s="66">
        <v>0</v>
      </c>
      <c r="K40" s="66"/>
      <c r="L40" s="67">
        <v>4413</v>
      </c>
      <c r="M40" s="66"/>
      <c r="N40" s="66">
        <v>0</v>
      </c>
      <c r="O40" s="66"/>
      <c r="P40" s="66">
        <v>0</v>
      </c>
      <c r="Q40" s="66"/>
      <c r="R40" s="67">
        <v>1320</v>
      </c>
      <c r="S40" s="66"/>
      <c r="T40" s="67">
        <v>2182</v>
      </c>
      <c r="U40" s="66"/>
      <c r="V40" s="66">
        <v>0</v>
      </c>
      <c r="W40" s="66"/>
      <c r="X40" s="66">
        <v>0</v>
      </c>
      <c r="Y40" s="66"/>
      <c r="Z40" s="66">
        <v>13614</v>
      </c>
      <c r="AA40" s="66"/>
      <c r="AB40" s="66">
        <v>0</v>
      </c>
      <c r="AC40" s="66"/>
      <c r="AD40" s="66">
        <v>0</v>
      </c>
      <c r="AF40" s="4">
        <v>0</v>
      </c>
      <c r="AH40" s="4">
        <f t="shared" si="0"/>
        <v>145765</v>
      </c>
    </row>
    <row r="41" spans="1:66" s="4" customFormat="1">
      <c r="A41" s="4">
        <v>74</v>
      </c>
      <c r="B41" s="4" t="s">
        <v>89</v>
      </c>
      <c r="D41" s="4" t="s">
        <v>90</v>
      </c>
      <c r="F41" s="73">
        <v>580521.62</v>
      </c>
      <c r="G41" s="73"/>
      <c r="H41" s="73">
        <v>1481935.64</v>
      </c>
      <c r="I41" s="73"/>
      <c r="J41" s="73">
        <v>88270.47</v>
      </c>
      <c r="K41" s="73"/>
      <c r="L41" s="73">
        <v>58728.22</v>
      </c>
      <c r="M41" s="73"/>
      <c r="N41" s="73">
        <v>0</v>
      </c>
      <c r="O41" s="73"/>
      <c r="P41" s="73">
        <v>0</v>
      </c>
      <c r="Q41" s="73"/>
      <c r="R41" s="73">
        <v>67148.210000000006</v>
      </c>
      <c r="S41" s="73"/>
      <c r="T41" s="73">
        <v>2026.03</v>
      </c>
      <c r="U41" s="73"/>
      <c r="V41" s="73">
        <v>6834.84</v>
      </c>
      <c r="W41" s="73"/>
      <c r="X41" s="73">
        <v>132000</v>
      </c>
      <c r="Y41" s="73"/>
      <c r="Z41" s="73">
        <v>75000</v>
      </c>
      <c r="AA41" s="73"/>
      <c r="AB41" s="73">
        <v>0</v>
      </c>
      <c r="AC41" s="73"/>
      <c r="AD41" s="73">
        <v>0</v>
      </c>
      <c r="AE41" s="73"/>
      <c r="AF41" s="73">
        <v>0</v>
      </c>
      <c r="AG41" s="73"/>
      <c r="AH41" s="73">
        <f>SUM(F41:AF41)</f>
        <v>2492465.0299999998</v>
      </c>
    </row>
    <row r="42" spans="1:66" s="4" customFormat="1">
      <c r="A42" s="4">
        <v>200</v>
      </c>
      <c r="B42" s="4" t="s">
        <v>91</v>
      </c>
      <c r="D42" s="4" t="s">
        <v>92</v>
      </c>
      <c r="F42" s="66">
        <v>0</v>
      </c>
      <c r="G42" s="66"/>
      <c r="H42" s="67">
        <v>1393027</v>
      </c>
      <c r="I42" s="66"/>
      <c r="J42" s="67">
        <v>7991</v>
      </c>
      <c r="K42" s="66"/>
      <c r="L42" s="67">
        <v>32434</v>
      </c>
      <c r="M42" s="66"/>
      <c r="N42" s="66">
        <v>0</v>
      </c>
      <c r="O42" s="66"/>
      <c r="P42" s="66">
        <v>0</v>
      </c>
      <c r="Q42" s="66"/>
      <c r="R42" s="67">
        <v>13245</v>
      </c>
      <c r="S42" s="66"/>
      <c r="T42" s="67">
        <v>12818</v>
      </c>
      <c r="U42" s="66"/>
      <c r="V42" s="67">
        <v>13583</v>
      </c>
      <c r="W42" s="66"/>
      <c r="X42" s="66">
        <v>0</v>
      </c>
      <c r="Y42" s="66"/>
      <c r="Z42" s="66">
        <v>100000</v>
      </c>
      <c r="AA42" s="66"/>
      <c r="AB42" s="66">
        <v>4400</v>
      </c>
      <c r="AC42" s="66"/>
      <c r="AD42" s="66">
        <v>0</v>
      </c>
      <c r="AF42" s="4">
        <v>0</v>
      </c>
      <c r="AH42" s="4">
        <f t="shared" ref="AH42:AH74" si="1">SUM(F42:AD42)</f>
        <v>1577498</v>
      </c>
    </row>
    <row r="43" spans="1:66" s="4" customFormat="1" hidden="1">
      <c r="A43" s="4">
        <v>35</v>
      </c>
      <c r="B43" s="4" t="s">
        <v>93</v>
      </c>
      <c r="D43" s="4" t="s">
        <v>67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H43" s="4">
        <f t="shared" si="1"/>
        <v>0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14" customFormat="1">
      <c r="A44" s="4">
        <v>204</v>
      </c>
      <c r="B44" s="4" t="s">
        <v>94</v>
      </c>
      <c r="C44" s="4"/>
      <c r="D44" s="4" t="s">
        <v>43</v>
      </c>
      <c r="E44" s="4"/>
      <c r="F44" s="6">
        <v>0</v>
      </c>
      <c r="G44" s="6"/>
      <c r="H44" s="6">
        <v>0</v>
      </c>
      <c r="I44" s="6"/>
      <c r="J44" s="6">
        <v>124903.35</v>
      </c>
      <c r="K44" s="6"/>
      <c r="L44" s="6">
        <v>2442.34</v>
      </c>
      <c r="M44" s="6"/>
      <c r="N44" s="6">
        <v>0</v>
      </c>
      <c r="O44" s="6"/>
      <c r="P44" s="6">
        <v>0</v>
      </c>
      <c r="Q44" s="6"/>
      <c r="R44" s="6">
        <v>7685.71</v>
      </c>
      <c r="S44" s="6"/>
      <c r="T44" s="6">
        <v>382.12</v>
      </c>
      <c r="U44" s="6"/>
      <c r="V44" s="6">
        <v>100.03</v>
      </c>
      <c r="W44" s="6"/>
      <c r="X44" s="6">
        <v>0</v>
      </c>
      <c r="Y44" s="6"/>
      <c r="Z44" s="6">
        <v>97203.22</v>
      </c>
      <c r="AA44" s="6"/>
      <c r="AB44" s="6">
        <v>0</v>
      </c>
      <c r="AC44" s="6"/>
      <c r="AD44" s="6">
        <v>0</v>
      </c>
      <c r="AE44" s="6"/>
      <c r="AF44" s="6">
        <v>0</v>
      </c>
      <c r="AG44" s="6"/>
      <c r="AH44" s="6">
        <f>SUM(F44:AF44)</f>
        <v>232716.77</v>
      </c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6" s="4" customFormat="1">
      <c r="A45" s="4">
        <v>3</v>
      </c>
      <c r="B45" s="4" t="s">
        <v>298</v>
      </c>
      <c r="D45" s="4" t="s">
        <v>95</v>
      </c>
      <c r="F45" s="6">
        <v>98782.46</v>
      </c>
      <c r="G45" s="6"/>
      <c r="H45" s="6">
        <v>224101.05</v>
      </c>
      <c r="I45" s="6"/>
      <c r="J45" s="6">
        <v>38883.01</v>
      </c>
      <c r="K45" s="6"/>
      <c r="L45" s="6">
        <v>12016.48</v>
      </c>
      <c r="M45" s="6"/>
      <c r="N45" s="6">
        <v>0</v>
      </c>
      <c r="O45" s="6"/>
      <c r="P45" s="6">
        <v>0</v>
      </c>
      <c r="Q45" s="6"/>
      <c r="R45" s="6">
        <v>8951.58</v>
      </c>
      <c r="S45" s="6"/>
      <c r="T45" s="6">
        <v>1164.24</v>
      </c>
      <c r="U45" s="6"/>
      <c r="V45" s="6">
        <v>2185.39</v>
      </c>
      <c r="W45" s="6"/>
      <c r="X45" s="6">
        <v>0</v>
      </c>
      <c r="Y45" s="6"/>
      <c r="Z45" s="6">
        <v>0</v>
      </c>
      <c r="AA45" s="6"/>
      <c r="AB45" s="6">
        <v>0</v>
      </c>
      <c r="AC45" s="6"/>
      <c r="AD45" s="6">
        <v>0</v>
      </c>
      <c r="AE45" s="6"/>
      <c r="AF45" s="6">
        <v>0</v>
      </c>
      <c r="AG45" s="6"/>
      <c r="AH45" s="6">
        <f>SUM(F45:AF45)</f>
        <v>386084.21</v>
      </c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4" customFormat="1">
      <c r="A46" s="4">
        <v>101</v>
      </c>
      <c r="B46" s="4" t="s">
        <v>96</v>
      </c>
      <c r="D46" s="4" t="s">
        <v>44</v>
      </c>
      <c r="F46" s="6">
        <v>0</v>
      </c>
      <c r="G46" s="6"/>
      <c r="H46" s="6">
        <v>180471.32</v>
      </c>
      <c r="I46" s="6"/>
      <c r="J46" s="6">
        <v>0</v>
      </c>
      <c r="K46" s="6"/>
      <c r="L46" s="6">
        <v>3915.26</v>
      </c>
      <c r="M46" s="6"/>
      <c r="N46" s="6">
        <v>0</v>
      </c>
      <c r="O46" s="6"/>
      <c r="P46" s="6">
        <v>0</v>
      </c>
      <c r="Q46" s="6"/>
      <c r="R46" s="6">
        <v>6020</v>
      </c>
      <c r="S46" s="6"/>
      <c r="T46" s="6">
        <v>714.93</v>
      </c>
      <c r="U46" s="6"/>
      <c r="V46" s="6">
        <v>1732.02</v>
      </c>
      <c r="W46" s="6"/>
      <c r="X46" s="6">
        <v>0</v>
      </c>
      <c r="Y46" s="6"/>
      <c r="Z46" s="6">
        <v>0</v>
      </c>
      <c r="AA46" s="6"/>
      <c r="AB46" s="6">
        <v>0</v>
      </c>
      <c r="AC46" s="6"/>
      <c r="AD46" s="6">
        <v>0</v>
      </c>
      <c r="AE46" s="6"/>
      <c r="AF46" s="6">
        <v>0</v>
      </c>
      <c r="AG46" s="6"/>
      <c r="AH46" s="6">
        <f>SUM(F46:AF46)</f>
        <v>192853.53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4" customFormat="1">
      <c r="A47" s="4">
        <v>162</v>
      </c>
      <c r="B47" s="4" t="s">
        <v>97</v>
      </c>
      <c r="D47" s="4" t="s">
        <v>51</v>
      </c>
      <c r="F47" s="6">
        <v>0</v>
      </c>
      <c r="G47" s="6"/>
      <c r="H47" s="6">
        <v>181738.76</v>
      </c>
      <c r="I47" s="6"/>
      <c r="J47" s="6">
        <v>0</v>
      </c>
      <c r="K47" s="6"/>
      <c r="L47" s="6">
        <v>5254.86</v>
      </c>
      <c r="M47" s="6"/>
      <c r="N47" s="6">
        <v>0</v>
      </c>
      <c r="O47" s="6"/>
      <c r="P47" s="6">
        <v>0</v>
      </c>
      <c r="Q47" s="6"/>
      <c r="R47" s="6">
        <v>13150.82</v>
      </c>
      <c r="S47" s="6"/>
      <c r="T47" s="6">
        <v>256.52</v>
      </c>
      <c r="U47" s="6"/>
      <c r="V47" s="6">
        <v>1562.14</v>
      </c>
      <c r="W47" s="6"/>
      <c r="X47" s="6">
        <v>479.36</v>
      </c>
      <c r="Y47" s="6"/>
      <c r="Z47" s="6">
        <v>0</v>
      </c>
      <c r="AA47" s="6"/>
      <c r="AB47" s="6">
        <v>0</v>
      </c>
      <c r="AC47" s="6"/>
      <c r="AD47" s="6">
        <v>0</v>
      </c>
      <c r="AE47" s="6"/>
      <c r="AF47" s="6">
        <v>0</v>
      </c>
      <c r="AG47" s="6"/>
      <c r="AH47" s="6">
        <f>SUM(F47:AF47)</f>
        <v>202442.46</v>
      </c>
    </row>
    <row r="48" spans="1:66" s="4" customFormat="1">
      <c r="A48" s="39">
        <v>130.1</v>
      </c>
      <c r="B48" s="3" t="s">
        <v>570</v>
      </c>
      <c r="C48" s="3"/>
      <c r="D48" s="3" t="s">
        <v>571</v>
      </c>
      <c r="E48" s="3"/>
      <c r="F48" s="66">
        <v>0</v>
      </c>
      <c r="G48" s="66"/>
      <c r="H48" s="67">
        <v>1867955</v>
      </c>
      <c r="I48" s="66"/>
      <c r="J48" s="66">
        <v>0</v>
      </c>
      <c r="K48" s="66"/>
      <c r="L48" s="67">
        <v>45283</v>
      </c>
      <c r="M48" s="66"/>
      <c r="N48" s="66">
        <v>0</v>
      </c>
      <c r="O48" s="66"/>
      <c r="P48" s="66">
        <v>0</v>
      </c>
      <c r="Q48" s="66"/>
      <c r="R48" s="67">
        <f>1335+2906</f>
        <v>4241</v>
      </c>
      <c r="S48" s="66"/>
      <c r="T48" s="67">
        <f>792+220</f>
        <v>1012</v>
      </c>
      <c r="U48" s="66">
        <v>0</v>
      </c>
      <c r="V48" s="67">
        <v>13955</v>
      </c>
      <c r="W48" s="66"/>
      <c r="X48" s="66">
        <v>0</v>
      </c>
      <c r="Y48" s="66"/>
      <c r="Z48" s="66">
        <v>19000</v>
      </c>
      <c r="AA48" s="66"/>
      <c r="AB48" s="66">
        <v>0</v>
      </c>
      <c r="AC48" s="66"/>
      <c r="AD48" s="66">
        <v>0</v>
      </c>
      <c r="AF48" s="4">
        <v>0</v>
      </c>
      <c r="AH48" s="4">
        <f t="shared" si="1"/>
        <v>1951446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4" customFormat="1">
      <c r="A49" s="4">
        <v>223</v>
      </c>
      <c r="B49" s="4" t="s">
        <v>98</v>
      </c>
      <c r="D49" s="4" t="s">
        <v>54</v>
      </c>
      <c r="F49" s="66">
        <v>0</v>
      </c>
      <c r="G49" s="66"/>
      <c r="H49" s="66">
        <v>0</v>
      </c>
      <c r="I49" s="66"/>
      <c r="J49" s="67">
        <v>323131</v>
      </c>
      <c r="K49" s="66"/>
      <c r="L49" s="67">
        <v>7191</v>
      </c>
      <c r="M49" s="66"/>
      <c r="N49" s="66">
        <v>0</v>
      </c>
      <c r="O49" s="66"/>
      <c r="P49" s="66">
        <v>0</v>
      </c>
      <c r="Q49" s="66"/>
      <c r="R49" s="66">
        <v>0</v>
      </c>
      <c r="S49" s="66"/>
      <c r="T49" s="67">
        <v>7333</v>
      </c>
      <c r="U49" s="66"/>
      <c r="V49" s="67">
        <v>79</v>
      </c>
      <c r="W49" s="66"/>
      <c r="X49" s="66">
        <v>0</v>
      </c>
      <c r="Y49" s="66"/>
      <c r="Z49" s="66">
        <v>0</v>
      </c>
      <c r="AA49" s="66"/>
      <c r="AB49" s="66">
        <v>0</v>
      </c>
      <c r="AC49" s="66"/>
      <c r="AD49" s="66">
        <v>0</v>
      </c>
      <c r="AF49" s="4">
        <v>0</v>
      </c>
      <c r="AH49" s="4">
        <f t="shared" si="1"/>
        <v>337734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4" customFormat="1">
      <c r="A50" s="4">
        <v>23</v>
      </c>
      <c r="B50" s="4" t="s">
        <v>468</v>
      </c>
      <c r="D50" s="4" t="s">
        <v>45</v>
      </c>
      <c r="F50" s="6">
        <v>0</v>
      </c>
      <c r="G50" s="6"/>
      <c r="H50" s="6">
        <v>704353.67</v>
      </c>
      <c r="I50" s="6"/>
      <c r="J50" s="6">
        <v>437444.33</v>
      </c>
      <c r="K50" s="6"/>
      <c r="L50" s="6">
        <v>30928.85</v>
      </c>
      <c r="M50" s="6"/>
      <c r="N50" s="6">
        <v>0</v>
      </c>
      <c r="O50" s="6"/>
      <c r="P50" s="6">
        <v>5600</v>
      </c>
      <c r="Q50" s="6"/>
      <c r="R50" s="6">
        <v>6135.57</v>
      </c>
      <c r="S50" s="6"/>
      <c r="T50" s="6">
        <v>347.38</v>
      </c>
      <c r="U50" s="6"/>
      <c r="V50" s="6">
        <v>5683.42</v>
      </c>
      <c r="W50" s="6"/>
      <c r="X50" s="6">
        <v>0</v>
      </c>
      <c r="Y50" s="6"/>
      <c r="Z50" s="6">
        <v>40000</v>
      </c>
      <c r="AA50" s="6"/>
      <c r="AB50" s="6">
        <v>2295.44</v>
      </c>
      <c r="AC50" s="6"/>
      <c r="AD50" s="6">
        <v>0</v>
      </c>
      <c r="AE50" s="6"/>
      <c r="AF50" s="6">
        <v>0</v>
      </c>
      <c r="AG50" s="6"/>
      <c r="AH50" s="6">
        <f>SUM(F50:AF50)</f>
        <v>1232788.6599999999</v>
      </c>
    </row>
    <row r="51" spans="1:66" s="4" customFormat="1">
      <c r="A51" s="4">
        <v>194</v>
      </c>
      <c r="B51" s="4" t="s">
        <v>99</v>
      </c>
      <c r="D51" s="4" t="s">
        <v>100</v>
      </c>
      <c r="F51" s="67">
        <v>97920</v>
      </c>
      <c r="G51" s="66"/>
      <c r="H51" s="67">
        <v>31907</v>
      </c>
      <c r="I51" s="66"/>
      <c r="J51" s="66">
        <v>0</v>
      </c>
      <c r="K51" s="66"/>
      <c r="L51" s="67">
        <v>5986</v>
      </c>
      <c r="M51" s="66"/>
      <c r="N51" s="66">
        <v>0</v>
      </c>
      <c r="O51" s="66"/>
      <c r="P51" s="66">
        <v>0</v>
      </c>
      <c r="Q51" s="66"/>
      <c r="R51" s="67">
        <v>3305</v>
      </c>
      <c r="S51" s="66"/>
      <c r="T51" s="67">
        <v>1219</v>
      </c>
      <c r="U51" s="66"/>
      <c r="V51" s="67">
        <v>10279</v>
      </c>
      <c r="W51" s="66"/>
      <c r="X51" s="66">
        <v>0</v>
      </c>
      <c r="Y51" s="66"/>
      <c r="Z51" s="66">
        <v>0</v>
      </c>
      <c r="AA51" s="66"/>
      <c r="AB51" s="66">
        <v>0</v>
      </c>
      <c r="AC51" s="66"/>
      <c r="AD51" s="66">
        <v>0</v>
      </c>
      <c r="AF51" s="4">
        <v>0</v>
      </c>
      <c r="AH51" s="4">
        <f t="shared" si="1"/>
        <v>150616</v>
      </c>
    </row>
    <row r="52" spans="1:66" s="4" customFormat="1">
      <c r="A52" s="4">
        <v>46</v>
      </c>
      <c r="B52" s="4" t="s">
        <v>101</v>
      </c>
      <c r="D52" s="4" t="s">
        <v>50</v>
      </c>
      <c r="F52" s="67">
        <v>506369</v>
      </c>
      <c r="G52" s="66"/>
      <c r="H52" s="66">
        <v>0</v>
      </c>
      <c r="I52" s="66"/>
      <c r="J52" s="66">
        <v>0</v>
      </c>
      <c r="K52" s="66"/>
      <c r="L52" s="67">
        <v>11813</v>
      </c>
      <c r="M52" s="66"/>
      <c r="N52" s="66">
        <v>0</v>
      </c>
      <c r="O52" s="66"/>
      <c r="P52" s="66">
        <v>0</v>
      </c>
      <c r="Q52" s="66"/>
      <c r="R52" s="67">
        <v>160200</v>
      </c>
      <c r="S52" s="66"/>
      <c r="T52" s="67">
        <v>4346</v>
      </c>
      <c r="U52" s="66"/>
      <c r="V52" s="67">
        <v>14742</v>
      </c>
      <c r="W52" s="66"/>
      <c r="X52" s="66">
        <v>0</v>
      </c>
      <c r="Y52" s="66"/>
      <c r="Z52" s="67">
        <v>103568</v>
      </c>
      <c r="AA52" s="66"/>
      <c r="AB52" s="66">
        <v>0</v>
      </c>
      <c r="AC52" s="66"/>
      <c r="AD52" s="66">
        <v>0</v>
      </c>
      <c r="AF52" s="4">
        <v>0</v>
      </c>
      <c r="AH52" s="4">
        <f t="shared" si="1"/>
        <v>801038</v>
      </c>
    </row>
    <row r="53" spans="1:66" s="4" customFormat="1">
      <c r="A53" s="4">
        <v>89</v>
      </c>
      <c r="B53" s="4" t="s">
        <v>102</v>
      </c>
      <c r="D53" s="4" t="s">
        <v>15</v>
      </c>
      <c r="F53" s="6">
        <v>228998.36</v>
      </c>
      <c r="G53" s="6"/>
      <c r="H53" s="6">
        <v>435528.1</v>
      </c>
      <c r="I53" s="6"/>
      <c r="J53" s="6">
        <v>50491.87</v>
      </c>
      <c r="K53" s="6"/>
      <c r="L53" s="6">
        <v>18519.16</v>
      </c>
      <c r="M53" s="6"/>
      <c r="N53" s="6">
        <v>0</v>
      </c>
      <c r="O53" s="6"/>
      <c r="P53" s="6">
        <v>0</v>
      </c>
      <c r="Q53" s="6"/>
      <c r="R53" s="6">
        <v>17324.25</v>
      </c>
      <c r="S53" s="6"/>
      <c r="T53" s="6">
        <v>1891.84</v>
      </c>
      <c r="U53" s="6"/>
      <c r="V53" s="6">
        <v>3403</v>
      </c>
      <c r="W53" s="6"/>
      <c r="X53" s="6">
        <v>25.47</v>
      </c>
      <c r="Y53" s="6"/>
      <c r="Z53" s="6">
        <v>0</v>
      </c>
      <c r="AA53" s="6"/>
      <c r="AB53" s="6">
        <v>0</v>
      </c>
      <c r="AC53" s="6"/>
      <c r="AD53" s="6">
        <v>0</v>
      </c>
      <c r="AE53" s="6"/>
      <c r="AF53" s="6">
        <v>0</v>
      </c>
      <c r="AG53" s="6"/>
      <c r="AH53" s="6">
        <f>SUM(F53:AF53)</f>
        <v>756182.04999999993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4" customFormat="1">
      <c r="A54" s="4">
        <v>179</v>
      </c>
      <c r="B54" s="4" t="s">
        <v>103</v>
      </c>
      <c r="D54" s="4" t="s">
        <v>104</v>
      </c>
      <c r="F54" s="6">
        <v>0</v>
      </c>
      <c r="G54" s="6"/>
      <c r="H54" s="6">
        <v>372974.05</v>
      </c>
      <c r="I54" s="6"/>
      <c r="J54" s="6">
        <v>0</v>
      </c>
      <c r="K54" s="6"/>
      <c r="L54" s="6">
        <v>12059.08</v>
      </c>
      <c r="M54" s="6"/>
      <c r="N54" s="6">
        <v>0</v>
      </c>
      <c r="O54" s="6"/>
      <c r="P54" s="6">
        <v>0</v>
      </c>
      <c r="Q54" s="6"/>
      <c r="R54" s="6">
        <v>819</v>
      </c>
      <c r="S54" s="6"/>
      <c r="T54" s="6">
        <v>546.49</v>
      </c>
      <c r="U54" s="6"/>
      <c r="V54" s="6">
        <v>173</v>
      </c>
      <c r="W54" s="6"/>
      <c r="X54" s="6">
        <v>0</v>
      </c>
      <c r="Y54" s="6"/>
      <c r="Z54" s="6">
        <v>54646.52</v>
      </c>
      <c r="AA54" s="6"/>
      <c r="AB54" s="6">
        <v>0</v>
      </c>
      <c r="AC54" s="6"/>
      <c r="AD54" s="6">
        <v>0</v>
      </c>
      <c r="AE54" s="6"/>
      <c r="AF54" s="6">
        <v>0</v>
      </c>
      <c r="AG54" s="6"/>
      <c r="AH54" s="6">
        <f>SUM(F54:AF54)</f>
        <v>441218.14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4" customFormat="1">
      <c r="A55" s="4">
        <v>209</v>
      </c>
      <c r="B55" s="4" t="s">
        <v>105</v>
      </c>
      <c r="D55" s="4" t="s">
        <v>23</v>
      </c>
      <c r="F55" s="6">
        <v>217207.87</v>
      </c>
      <c r="G55" s="6"/>
      <c r="H55" s="6">
        <v>517639.93</v>
      </c>
      <c r="I55" s="6"/>
      <c r="J55" s="6">
        <v>59308.83</v>
      </c>
      <c r="K55" s="6"/>
      <c r="L55" s="6">
        <v>24000.400000000001</v>
      </c>
      <c r="M55" s="6"/>
      <c r="N55" s="6">
        <v>0</v>
      </c>
      <c r="O55" s="6"/>
      <c r="P55" s="6">
        <v>0</v>
      </c>
      <c r="Q55" s="6"/>
      <c r="R55" s="6">
        <v>2640</v>
      </c>
      <c r="S55" s="6"/>
      <c r="T55" s="6">
        <v>337.82</v>
      </c>
      <c r="U55" s="6"/>
      <c r="V55" s="6">
        <v>2361.2600000000002</v>
      </c>
      <c r="W55" s="6"/>
      <c r="X55" s="6">
        <v>0</v>
      </c>
      <c r="Y55" s="6"/>
      <c r="Z55" s="6">
        <v>0</v>
      </c>
      <c r="AA55" s="6"/>
      <c r="AB55" s="6">
        <v>0</v>
      </c>
      <c r="AC55" s="6"/>
      <c r="AD55" s="6">
        <v>46</v>
      </c>
      <c r="AE55" s="6"/>
      <c r="AF55" s="6">
        <v>0</v>
      </c>
      <c r="AG55" s="6"/>
      <c r="AH55" s="6">
        <f>SUM(F55:AF55)</f>
        <v>823542.11</v>
      </c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4" customFormat="1">
      <c r="A56" s="4">
        <v>174</v>
      </c>
      <c r="B56" s="4" t="s">
        <v>106</v>
      </c>
      <c r="D56" s="4" t="s">
        <v>66</v>
      </c>
      <c r="F56" s="66">
        <v>0</v>
      </c>
      <c r="G56" s="66"/>
      <c r="H56" s="67">
        <v>218872</v>
      </c>
      <c r="I56" s="66"/>
      <c r="J56" s="67">
        <v>13432</v>
      </c>
      <c r="K56" s="66"/>
      <c r="L56" s="67">
        <v>7205</v>
      </c>
      <c r="M56" s="66"/>
      <c r="N56" s="66">
        <v>0</v>
      </c>
      <c r="O56" s="66"/>
      <c r="P56" s="66">
        <v>0</v>
      </c>
      <c r="Q56" s="66"/>
      <c r="R56" s="67">
        <v>3902</v>
      </c>
      <c r="S56" s="66"/>
      <c r="T56" s="67">
        <v>1225</v>
      </c>
      <c r="U56" s="66"/>
      <c r="V56" s="67">
        <v>7170</v>
      </c>
      <c r="W56" s="66"/>
      <c r="X56" s="66">
        <v>0</v>
      </c>
      <c r="Y56" s="66"/>
      <c r="Z56" s="66">
        <v>0</v>
      </c>
      <c r="AA56" s="66"/>
      <c r="AB56" s="66">
        <v>0</v>
      </c>
      <c r="AC56" s="66"/>
      <c r="AD56" s="66">
        <v>0</v>
      </c>
      <c r="AF56" s="4">
        <v>0</v>
      </c>
      <c r="AH56" s="4">
        <f t="shared" si="1"/>
        <v>251806</v>
      </c>
    </row>
    <row r="57" spans="1:66" s="4" customFormat="1">
      <c r="A57" s="4">
        <v>73</v>
      </c>
      <c r="B57" s="4" t="s">
        <v>107</v>
      </c>
      <c r="D57" s="4" t="s">
        <v>108</v>
      </c>
      <c r="F57" s="66">
        <v>0</v>
      </c>
      <c r="G57" s="66"/>
      <c r="H57" s="67">
        <v>838767</v>
      </c>
      <c r="I57" s="66"/>
      <c r="J57" s="66">
        <v>0</v>
      </c>
      <c r="K57" s="66"/>
      <c r="L57" s="67">
        <v>20301</v>
      </c>
      <c r="M57" s="66"/>
      <c r="N57" s="66">
        <v>0</v>
      </c>
      <c r="O57" s="66"/>
      <c r="P57" s="66">
        <v>0</v>
      </c>
      <c r="Q57" s="66"/>
      <c r="R57" s="67">
        <v>12123</v>
      </c>
      <c r="S57" s="66"/>
      <c r="T57" s="67">
        <v>8801</v>
      </c>
      <c r="U57" s="66"/>
      <c r="V57" s="67">
        <v>11926</v>
      </c>
      <c r="W57" s="66"/>
      <c r="X57" s="66">
        <v>0</v>
      </c>
      <c r="Y57" s="66"/>
      <c r="Z57" s="66">
        <v>0</v>
      </c>
      <c r="AA57" s="66"/>
      <c r="AB57" s="66">
        <v>0</v>
      </c>
      <c r="AC57" s="66"/>
      <c r="AD57" s="66">
        <v>0</v>
      </c>
      <c r="AF57" s="4">
        <v>0</v>
      </c>
      <c r="AH57" s="4">
        <f t="shared" si="1"/>
        <v>891918</v>
      </c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4" customFormat="1">
      <c r="A58" s="4">
        <v>27</v>
      </c>
      <c r="B58" s="4" t="s">
        <v>583</v>
      </c>
      <c r="D58" s="4" t="s">
        <v>46</v>
      </c>
      <c r="F58" s="6">
        <v>0</v>
      </c>
      <c r="G58" s="6"/>
      <c r="H58" s="6">
        <v>581136.74</v>
      </c>
      <c r="I58" s="6"/>
      <c r="J58" s="6">
        <v>0</v>
      </c>
      <c r="K58" s="6"/>
      <c r="L58" s="6">
        <v>35298.25</v>
      </c>
      <c r="M58" s="6"/>
      <c r="N58" s="6">
        <v>0</v>
      </c>
      <c r="O58" s="6"/>
      <c r="P58" s="6">
        <v>0</v>
      </c>
      <c r="Q58" s="6"/>
      <c r="R58" s="6">
        <v>21594</v>
      </c>
      <c r="S58" s="6"/>
      <c r="T58" s="6">
        <v>1178.76</v>
      </c>
      <c r="U58" s="6"/>
      <c r="V58" s="6">
        <v>11891.34</v>
      </c>
      <c r="W58" s="6"/>
      <c r="X58" s="6">
        <v>0</v>
      </c>
      <c r="Y58" s="6"/>
      <c r="Z58" s="6">
        <v>0</v>
      </c>
      <c r="AA58" s="6"/>
      <c r="AB58" s="6">
        <v>0</v>
      </c>
      <c r="AC58" s="6"/>
      <c r="AD58" s="6">
        <v>0</v>
      </c>
      <c r="AE58" s="6"/>
      <c r="AF58" s="6">
        <v>0</v>
      </c>
      <c r="AG58" s="6"/>
      <c r="AH58" s="6">
        <f>SUM(F58:AF58)</f>
        <v>651099.09</v>
      </c>
    </row>
    <row r="59" spans="1:66" s="4" customFormat="1">
      <c r="A59" s="4">
        <v>121</v>
      </c>
      <c r="B59" s="4" t="s">
        <v>109</v>
      </c>
      <c r="D59" s="4" t="s">
        <v>14</v>
      </c>
      <c r="F59" s="66">
        <v>0</v>
      </c>
      <c r="G59" s="66"/>
      <c r="H59" s="67">
        <v>222710.03</v>
      </c>
      <c r="I59" s="66"/>
      <c r="J59" s="66">
        <v>0</v>
      </c>
      <c r="K59" s="66"/>
      <c r="L59" s="67">
        <v>7910.59</v>
      </c>
      <c r="M59" s="66"/>
      <c r="N59" s="66">
        <v>0</v>
      </c>
      <c r="O59" s="66"/>
      <c r="P59" s="66">
        <v>0</v>
      </c>
      <c r="Q59" s="66"/>
      <c r="R59" s="67">
        <v>465</v>
      </c>
      <c r="S59" s="66"/>
      <c r="T59" s="67">
        <v>741.96</v>
      </c>
      <c r="U59" s="66"/>
      <c r="V59" s="67">
        <v>1014.1</v>
      </c>
      <c r="W59" s="66"/>
      <c r="X59" s="66">
        <v>0</v>
      </c>
      <c r="Y59" s="66"/>
      <c r="Z59" s="66">
        <v>0</v>
      </c>
      <c r="AA59" s="66"/>
      <c r="AB59" s="66">
        <v>0</v>
      </c>
      <c r="AC59" s="66"/>
      <c r="AD59" s="66">
        <v>0</v>
      </c>
      <c r="AF59" s="4">
        <v>0</v>
      </c>
      <c r="AH59" s="4">
        <f t="shared" si="1"/>
        <v>232841.68</v>
      </c>
    </row>
    <row r="60" spans="1:66" s="4" customFormat="1">
      <c r="A60" s="4">
        <v>28</v>
      </c>
      <c r="B60" s="4" t="s">
        <v>584</v>
      </c>
      <c r="D60" s="4" t="s">
        <v>60</v>
      </c>
      <c r="F60" s="6">
        <v>464820.16</v>
      </c>
      <c r="G60" s="6"/>
      <c r="H60" s="6">
        <v>589568.42000000004</v>
      </c>
      <c r="I60" s="6"/>
      <c r="J60" s="6">
        <v>86828.85</v>
      </c>
      <c r="K60" s="6"/>
      <c r="L60" s="6">
        <v>35069.32</v>
      </c>
      <c r="M60" s="6"/>
      <c r="N60" s="6">
        <v>0</v>
      </c>
      <c r="O60" s="6"/>
      <c r="P60" s="6">
        <v>0</v>
      </c>
      <c r="Q60" s="6"/>
      <c r="R60" s="6">
        <v>8669.8700000000008</v>
      </c>
      <c r="S60" s="6"/>
      <c r="T60" s="6">
        <v>1843.14</v>
      </c>
      <c r="U60" s="6"/>
      <c r="V60" s="6">
        <v>5213.2</v>
      </c>
      <c r="W60" s="6"/>
      <c r="X60" s="6">
        <v>0</v>
      </c>
      <c r="Y60" s="6"/>
      <c r="Z60" s="6">
        <v>0</v>
      </c>
      <c r="AA60" s="6"/>
      <c r="AB60" s="6">
        <v>0</v>
      </c>
      <c r="AC60" s="6"/>
      <c r="AD60" s="6">
        <v>0</v>
      </c>
      <c r="AE60" s="6"/>
      <c r="AF60" s="6">
        <v>0</v>
      </c>
      <c r="AG60" s="6"/>
      <c r="AH60" s="6">
        <f>SUM(F60:AF60)</f>
        <v>1192012.9600000002</v>
      </c>
    </row>
    <row r="61" spans="1:66" s="4" customFormat="1">
      <c r="A61" s="4">
        <v>199</v>
      </c>
      <c r="B61" s="4" t="s">
        <v>110</v>
      </c>
      <c r="D61" s="4" t="s">
        <v>47</v>
      </c>
      <c r="F61" s="6">
        <v>1156291.57</v>
      </c>
      <c r="G61" s="6"/>
      <c r="H61" s="6">
        <v>2151180.15</v>
      </c>
      <c r="I61" s="6"/>
      <c r="J61" s="6">
        <v>33016</v>
      </c>
      <c r="K61" s="6"/>
      <c r="L61" s="6">
        <v>51474.62</v>
      </c>
      <c r="M61" s="6"/>
      <c r="N61" s="6">
        <v>0</v>
      </c>
      <c r="O61" s="6"/>
      <c r="P61" s="6">
        <v>0</v>
      </c>
      <c r="Q61" s="6"/>
      <c r="R61" s="6">
        <v>88005.9</v>
      </c>
      <c r="S61" s="6"/>
      <c r="T61" s="6">
        <v>6130.76</v>
      </c>
      <c r="U61" s="6"/>
      <c r="V61" s="6">
        <v>14144.13</v>
      </c>
      <c r="W61" s="6"/>
      <c r="X61" s="6">
        <v>10</v>
      </c>
      <c r="Y61" s="6"/>
      <c r="Z61" s="6">
        <v>81053.73</v>
      </c>
      <c r="AA61" s="6"/>
      <c r="AB61" s="6">
        <v>502246.47</v>
      </c>
      <c r="AC61" s="6"/>
      <c r="AD61" s="6">
        <v>0</v>
      </c>
      <c r="AE61" s="6"/>
      <c r="AF61" s="6">
        <v>0</v>
      </c>
      <c r="AG61" s="6"/>
      <c r="AH61" s="6">
        <f>SUM(F61:AF61)</f>
        <v>4083553.3299999991</v>
      </c>
    </row>
    <row r="62" spans="1:66" s="4" customFormat="1" hidden="1">
      <c r="A62" s="4">
        <v>199</v>
      </c>
      <c r="B62" s="4" t="s">
        <v>614</v>
      </c>
      <c r="D62" s="4" t="s">
        <v>569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H62" s="4">
        <f t="shared" ref="AH62" si="2">SUM(F62:AD62)</f>
        <v>0</v>
      </c>
    </row>
    <row r="63" spans="1:66" s="4" customFormat="1">
      <c r="A63" s="4">
        <v>32</v>
      </c>
      <c r="B63" s="4" t="s">
        <v>111</v>
      </c>
      <c r="D63" s="4" t="s">
        <v>112</v>
      </c>
      <c r="F63" s="67">
        <v>2526906</v>
      </c>
      <c r="G63" s="66"/>
      <c r="H63" s="66">
        <v>0</v>
      </c>
      <c r="I63" s="66"/>
      <c r="J63" s="67">
        <v>4282590</v>
      </c>
      <c r="K63" s="66"/>
      <c r="L63" s="67">
        <v>99036</v>
      </c>
      <c r="M63" s="66"/>
      <c r="N63" s="66">
        <v>0</v>
      </c>
      <c r="O63" s="66"/>
      <c r="P63" s="67">
        <v>10</v>
      </c>
      <c r="Q63" s="66"/>
      <c r="R63" s="67">
        <v>51716</v>
      </c>
      <c r="S63" s="66"/>
      <c r="T63" s="67">
        <v>9971</v>
      </c>
      <c r="U63" s="66"/>
      <c r="V63" s="67">
        <v>36313</v>
      </c>
      <c r="W63" s="66"/>
      <c r="X63" s="66">
        <v>0</v>
      </c>
      <c r="Y63" s="66"/>
      <c r="Z63" s="66">
        <v>0</v>
      </c>
      <c r="AA63" s="66"/>
      <c r="AB63" s="66">
        <v>0</v>
      </c>
      <c r="AC63" s="66"/>
      <c r="AD63" s="67">
        <v>19705</v>
      </c>
      <c r="AF63" s="4">
        <v>0</v>
      </c>
      <c r="AH63" s="4">
        <f t="shared" si="1"/>
        <v>7026247</v>
      </c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4" customFormat="1">
      <c r="A64" s="4">
        <v>231</v>
      </c>
      <c r="B64" s="4" t="s">
        <v>299</v>
      </c>
      <c r="D64" s="4" t="s">
        <v>24</v>
      </c>
      <c r="F64" s="6">
        <v>0</v>
      </c>
      <c r="G64" s="6"/>
      <c r="H64" s="6">
        <v>355883.96</v>
      </c>
      <c r="I64" s="6"/>
      <c r="J64" s="6">
        <v>1300</v>
      </c>
      <c r="K64" s="6"/>
      <c r="L64" s="6">
        <v>11738.87</v>
      </c>
      <c r="M64" s="6"/>
      <c r="N64" s="6">
        <v>0</v>
      </c>
      <c r="O64" s="6"/>
      <c r="P64" s="6">
        <v>0</v>
      </c>
      <c r="Q64" s="6"/>
      <c r="R64" s="6">
        <v>1387.32</v>
      </c>
      <c r="S64" s="6"/>
      <c r="T64" s="6">
        <v>1636.05</v>
      </c>
      <c r="U64" s="6"/>
      <c r="V64" s="6">
        <v>4559.12</v>
      </c>
      <c r="W64" s="6"/>
      <c r="X64" s="6">
        <v>0</v>
      </c>
      <c r="Y64" s="6"/>
      <c r="Z64" s="6">
        <v>0</v>
      </c>
      <c r="AA64" s="6"/>
      <c r="AB64" s="6">
        <v>0</v>
      </c>
      <c r="AC64" s="6"/>
      <c r="AD64" s="6">
        <v>0</v>
      </c>
      <c r="AE64" s="6"/>
      <c r="AF64" s="6">
        <v>0</v>
      </c>
      <c r="AG64" s="6"/>
      <c r="AH64" s="6">
        <f>SUM(F64:AF64)</f>
        <v>376505.32</v>
      </c>
    </row>
    <row r="65" spans="1:66" s="4" customFormat="1">
      <c r="A65" s="4">
        <v>34</v>
      </c>
      <c r="B65" s="4" t="s">
        <v>113</v>
      </c>
      <c r="D65" s="4" t="s">
        <v>114</v>
      </c>
      <c r="F65" s="67">
        <v>3444832</v>
      </c>
      <c r="G65" s="66"/>
      <c r="H65" s="67">
        <v>4889459</v>
      </c>
      <c r="I65" s="66"/>
      <c r="J65" s="67">
        <v>504489</v>
      </c>
      <c r="K65" s="66"/>
      <c r="L65" s="67">
        <v>216850</v>
      </c>
      <c r="M65" s="66"/>
      <c r="N65" s="66">
        <v>0</v>
      </c>
      <c r="O65" s="66"/>
      <c r="P65" s="66">
        <v>0</v>
      </c>
      <c r="Q65" s="66"/>
      <c r="R65" s="67">
        <v>32549</v>
      </c>
      <c r="S65" s="66"/>
      <c r="T65" s="67">
        <v>8438</v>
      </c>
      <c r="U65" s="66"/>
      <c r="V65" s="67">
        <f>46583+7735000+29254</f>
        <v>7810837</v>
      </c>
      <c r="W65" s="66"/>
      <c r="X65" s="66">
        <v>510000</v>
      </c>
      <c r="Y65" s="66"/>
      <c r="Z65" s="66">
        <v>1601900</v>
      </c>
      <c r="AA65" s="66"/>
      <c r="AB65" s="66">
        <v>1007000</v>
      </c>
      <c r="AC65" s="66"/>
      <c r="AD65" s="66">
        <v>0</v>
      </c>
      <c r="AF65" s="4">
        <v>0</v>
      </c>
      <c r="AH65" s="4">
        <f t="shared" si="1"/>
        <v>20026354</v>
      </c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4" customFormat="1">
      <c r="A66" s="4">
        <v>49</v>
      </c>
      <c r="B66" s="4" t="s">
        <v>421</v>
      </c>
      <c r="D66" s="4" t="s">
        <v>17</v>
      </c>
      <c r="F66" s="67">
        <v>5510252</v>
      </c>
      <c r="G66" s="66"/>
      <c r="H66" s="66">
        <v>0</v>
      </c>
      <c r="I66" s="66"/>
      <c r="J66" s="67">
        <v>3372113</v>
      </c>
      <c r="K66" s="66"/>
      <c r="L66" s="67">
        <v>111050</v>
      </c>
      <c r="M66" s="66"/>
      <c r="N66" s="67">
        <v>42646</v>
      </c>
      <c r="O66" s="66"/>
      <c r="P66" s="66">
        <v>0</v>
      </c>
      <c r="Q66" s="66"/>
      <c r="R66" s="67">
        <v>31852</v>
      </c>
      <c r="S66" s="66"/>
      <c r="T66" s="67">
        <v>26913</v>
      </c>
      <c r="U66" s="66"/>
      <c r="V66" s="67">
        <v>62588</v>
      </c>
      <c r="W66" s="66"/>
      <c r="X66" s="66">
        <v>0</v>
      </c>
      <c r="Y66" s="66"/>
      <c r="Z66" s="66">
        <v>563015</v>
      </c>
      <c r="AA66" s="66"/>
      <c r="AB66" s="66">
        <v>0</v>
      </c>
      <c r="AC66" s="66"/>
      <c r="AD66" s="66">
        <v>0</v>
      </c>
      <c r="AF66" s="4">
        <v>0</v>
      </c>
      <c r="AH66" s="4">
        <f t="shared" si="1"/>
        <v>9720429</v>
      </c>
    </row>
    <row r="67" spans="1:66" s="4" customFormat="1">
      <c r="A67" s="4">
        <v>50</v>
      </c>
      <c r="B67" s="4" t="s">
        <v>422</v>
      </c>
      <c r="D67" s="4" t="s">
        <v>17</v>
      </c>
      <c r="F67" s="66">
        <v>27652041</v>
      </c>
      <c r="G67" s="66"/>
      <c r="H67" s="66">
        <v>0</v>
      </c>
      <c r="I67" s="66"/>
      <c r="J67" s="66">
        <v>30563839</v>
      </c>
      <c r="K67" s="66"/>
      <c r="L67" s="66">
        <v>444551</v>
      </c>
      <c r="M67" s="66"/>
      <c r="N67" s="66">
        <v>0</v>
      </c>
      <c r="O67" s="66"/>
      <c r="P67" s="66">
        <v>0</v>
      </c>
      <c r="Q67" s="66"/>
      <c r="R67" s="66">
        <v>829794</v>
      </c>
      <c r="S67" s="66"/>
      <c r="T67" s="66">
        <v>755136</v>
      </c>
      <c r="U67" s="66"/>
      <c r="V67" s="66">
        <f>874668+2548967</f>
        <v>3423635</v>
      </c>
      <c r="W67" s="66"/>
      <c r="X67" s="66">
        <v>2099</v>
      </c>
      <c r="Y67" s="66"/>
      <c r="Z67" s="66">
        <v>5000000</v>
      </c>
      <c r="AA67" s="66"/>
      <c r="AB67" s="66">
        <v>0</v>
      </c>
      <c r="AC67" s="66"/>
      <c r="AD67" s="66">
        <v>0</v>
      </c>
      <c r="AF67" s="4">
        <v>0</v>
      </c>
      <c r="AH67" s="4">
        <f t="shared" si="1"/>
        <v>68671095</v>
      </c>
    </row>
    <row r="68" spans="1:66" s="4" customFormat="1">
      <c r="A68" s="4">
        <v>201</v>
      </c>
      <c r="B68" s="4" t="s">
        <v>115</v>
      </c>
      <c r="D68" s="4" t="s">
        <v>92</v>
      </c>
      <c r="F68" s="6">
        <v>147588.84</v>
      </c>
      <c r="G68" s="6"/>
      <c r="H68" s="6">
        <v>280408.15000000002</v>
      </c>
      <c r="I68" s="6"/>
      <c r="J68" s="6">
        <v>64173.08</v>
      </c>
      <c r="K68" s="6"/>
      <c r="L68" s="6">
        <v>12636.71</v>
      </c>
      <c r="M68" s="6"/>
      <c r="N68" s="6">
        <v>0</v>
      </c>
      <c r="O68" s="6"/>
      <c r="P68" s="6">
        <v>0</v>
      </c>
      <c r="Q68" s="6"/>
      <c r="R68" s="6">
        <v>63442.86</v>
      </c>
      <c r="S68" s="6"/>
      <c r="T68" s="6">
        <v>6663.01</v>
      </c>
      <c r="U68" s="6"/>
      <c r="V68" s="6">
        <v>1635.08</v>
      </c>
      <c r="W68" s="6"/>
      <c r="X68" s="6">
        <v>0</v>
      </c>
      <c r="Y68" s="6"/>
      <c r="Z68" s="6">
        <v>75589.66</v>
      </c>
      <c r="AA68" s="6"/>
      <c r="AB68" s="6">
        <v>0</v>
      </c>
      <c r="AC68" s="6"/>
      <c r="AD68" s="6">
        <v>0</v>
      </c>
      <c r="AE68" s="6"/>
      <c r="AF68" s="6">
        <v>0</v>
      </c>
      <c r="AG68" s="6"/>
      <c r="AH68" s="6">
        <f>SUM(F68:AF68)</f>
        <v>652137.39</v>
      </c>
    </row>
    <row r="69" spans="1:66" s="4" customFormat="1">
      <c r="A69" s="4">
        <v>158</v>
      </c>
      <c r="B69" s="4" t="s">
        <v>485</v>
      </c>
      <c r="D69" s="4" t="s">
        <v>48</v>
      </c>
      <c r="F69" s="6">
        <v>0</v>
      </c>
      <c r="G69" s="6"/>
      <c r="H69" s="6">
        <v>205898.93</v>
      </c>
      <c r="I69" s="6"/>
      <c r="J69" s="6">
        <v>0</v>
      </c>
      <c r="K69" s="6"/>
      <c r="L69" s="6">
        <v>6178.82</v>
      </c>
      <c r="M69" s="6"/>
      <c r="N69" s="6">
        <v>0</v>
      </c>
      <c r="O69" s="6"/>
      <c r="P69" s="6">
        <v>0</v>
      </c>
      <c r="Q69" s="6"/>
      <c r="R69" s="6">
        <v>2124</v>
      </c>
      <c r="S69" s="6"/>
      <c r="T69" s="6">
        <v>548.85</v>
      </c>
      <c r="U69" s="6"/>
      <c r="V69" s="6">
        <v>52.34</v>
      </c>
      <c r="W69" s="6"/>
      <c r="X69" s="6">
        <v>1025.75</v>
      </c>
      <c r="Y69" s="6"/>
      <c r="Z69" s="6">
        <v>0</v>
      </c>
      <c r="AA69" s="6"/>
      <c r="AB69" s="6">
        <v>0</v>
      </c>
      <c r="AC69" s="6"/>
      <c r="AD69" s="6">
        <v>0</v>
      </c>
      <c r="AE69" s="6"/>
      <c r="AF69" s="6">
        <v>0</v>
      </c>
      <c r="AG69" s="6"/>
      <c r="AH69" s="6">
        <f>SUM(F69:AF69)</f>
        <v>215828.69</v>
      </c>
    </row>
    <row r="70" spans="1:66" s="4" customFormat="1">
      <c r="A70" s="4">
        <v>38</v>
      </c>
      <c r="B70" s="4" t="s">
        <v>447</v>
      </c>
      <c r="D70" s="4" t="s">
        <v>49</v>
      </c>
      <c r="F70" s="6">
        <v>0</v>
      </c>
      <c r="G70" s="6"/>
      <c r="H70" s="6">
        <v>710435.19</v>
      </c>
      <c r="I70" s="6"/>
      <c r="J70" s="6">
        <v>0</v>
      </c>
      <c r="K70" s="6"/>
      <c r="L70" s="6">
        <v>33577.46</v>
      </c>
      <c r="M70" s="6"/>
      <c r="N70" s="6">
        <v>0</v>
      </c>
      <c r="O70" s="6"/>
      <c r="P70" s="6">
        <v>0</v>
      </c>
      <c r="Q70" s="6"/>
      <c r="R70" s="6">
        <v>2440</v>
      </c>
      <c r="S70" s="6"/>
      <c r="T70" s="6">
        <v>9755.7099999999991</v>
      </c>
      <c r="U70" s="6"/>
      <c r="V70" s="6">
        <v>8073.59</v>
      </c>
      <c r="W70" s="6"/>
      <c r="X70" s="6">
        <v>0</v>
      </c>
      <c r="Y70" s="6"/>
      <c r="Z70" s="6">
        <v>0</v>
      </c>
      <c r="AA70" s="6"/>
      <c r="AB70" s="6">
        <v>0</v>
      </c>
      <c r="AC70" s="6"/>
      <c r="AD70" s="6">
        <v>0</v>
      </c>
      <c r="AE70" s="6"/>
      <c r="AF70" s="6">
        <v>0</v>
      </c>
      <c r="AG70" s="6"/>
      <c r="AH70" s="6">
        <f>SUM(F70:AF70)</f>
        <v>764281.94999999984</v>
      </c>
    </row>
    <row r="71" spans="1:66" s="4" customFormat="1">
      <c r="A71" s="4">
        <v>76</v>
      </c>
      <c r="B71" s="4" t="s">
        <v>116</v>
      </c>
      <c r="D71" s="4" t="s">
        <v>90</v>
      </c>
      <c r="F71" s="66">
        <v>55911594</v>
      </c>
      <c r="G71" s="66"/>
      <c r="H71" s="66">
        <v>19954000</v>
      </c>
      <c r="I71" s="66"/>
      <c r="J71" s="66">
        <v>248955</v>
      </c>
      <c r="K71" s="66"/>
      <c r="L71" s="66">
        <v>1534992</v>
      </c>
      <c r="M71" s="66"/>
      <c r="N71" s="66">
        <v>0</v>
      </c>
      <c r="O71" s="66"/>
      <c r="P71" s="66">
        <v>757925</v>
      </c>
      <c r="Q71" s="66"/>
      <c r="R71" s="66">
        <v>724132</v>
      </c>
      <c r="S71" s="66"/>
      <c r="T71" s="66">
        <v>251431</v>
      </c>
      <c r="U71" s="66"/>
      <c r="V71" s="66">
        <v>1320440</v>
      </c>
      <c r="W71" s="66"/>
      <c r="X71" s="66">
        <v>0</v>
      </c>
      <c r="Y71" s="66"/>
      <c r="Z71" s="66">
        <v>25961063</v>
      </c>
      <c r="AA71" s="66"/>
      <c r="AB71" s="66">
        <v>44200</v>
      </c>
      <c r="AC71" s="66"/>
      <c r="AD71" s="66">
        <v>0</v>
      </c>
      <c r="AF71" s="4">
        <v>0</v>
      </c>
      <c r="AH71" s="4">
        <f t="shared" si="1"/>
        <v>106708732</v>
      </c>
    </row>
    <row r="72" spans="1:66" s="4" customFormat="1">
      <c r="A72" s="4">
        <v>63</v>
      </c>
      <c r="B72" s="4" t="s">
        <v>359</v>
      </c>
      <c r="D72" s="4" t="s">
        <v>68</v>
      </c>
      <c r="F72" s="6">
        <v>661569.16</v>
      </c>
      <c r="G72" s="6"/>
      <c r="H72" s="6">
        <v>547240.32999999996</v>
      </c>
      <c r="I72" s="6"/>
      <c r="J72" s="6">
        <v>17351.490000000002</v>
      </c>
      <c r="K72" s="6"/>
      <c r="L72" s="6">
        <v>21243.7</v>
      </c>
      <c r="M72" s="6"/>
      <c r="N72" s="6">
        <v>0</v>
      </c>
      <c r="O72" s="6"/>
      <c r="P72" s="6">
        <v>0</v>
      </c>
      <c r="Q72" s="6"/>
      <c r="R72" s="6">
        <v>9992.67</v>
      </c>
      <c r="S72" s="6"/>
      <c r="T72" s="6">
        <v>6538.89</v>
      </c>
      <c r="U72" s="6"/>
      <c r="V72" s="6">
        <v>1585.51</v>
      </c>
      <c r="W72" s="6"/>
      <c r="X72" s="6">
        <v>0</v>
      </c>
      <c r="Y72" s="6"/>
      <c r="Z72" s="6">
        <v>59934.1</v>
      </c>
      <c r="AA72" s="6"/>
      <c r="AB72" s="6">
        <v>0</v>
      </c>
      <c r="AC72" s="6"/>
      <c r="AD72" s="6">
        <v>0</v>
      </c>
      <c r="AE72" s="6"/>
      <c r="AF72" s="6">
        <v>0</v>
      </c>
      <c r="AG72" s="6"/>
      <c r="AH72" s="6">
        <f>SUM(F72:AF72)</f>
        <v>1325455.8499999999</v>
      </c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4" customFormat="1">
      <c r="A73" s="4">
        <v>10</v>
      </c>
      <c r="B73" s="4" t="s">
        <v>117</v>
      </c>
      <c r="D73" s="4" t="s">
        <v>41</v>
      </c>
      <c r="F73" s="67">
        <v>438040</v>
      </c>
      <c r="G73" s="66"/>
      <c r="H73" s="66">
        <v>0</v>
      </c>
      <c r="I73" s="66"/>
      <c r="J73" s="66">
        <v>0</v>
      </c>
      <c r="K73" s="66"/>
      <c r="L73" s="67">
        <v>6248</v>
      </c>
      <c r="M73" s="66"/>
      <c r="N73" s="66">
        <v>0</v>
      </c>
      <c r="O73" s="66"/>
      <c r="P73" s="67">
        <v>150</v>
      </c>
      <c r="Q73" s="66"/>
      <c r="R73" s="67">
        <v>3879</v>
      </c>
      <c r="S73" s="66"/>
      <c r="T73" s="67">
        <v>2905</v>
      </c>
      <c r="U73" s="66"/>
      <c r="V73" s="67">
        <v>9667</v>
      </c>
      <c r="W73" s="66"/>
      <c r="X73" s="66">
        <v>0</v>
      </c>
      <c r="Y73" s="66"/>
      <c r="Z73" s="66">
        <v>0</v>
      </c>
      <c r="AA73" s="66"/>
      <c r="AB73" s="66">
        <v>0</v>
      </c>
      <c r="AC73" s="66"/>
      <c r="AD73" s="66">
        <v>0</v>
      </c>
      <c r="AF73" s="4">
        <v>0</v>
      </c>
      <c r="AH73" s="4">
        <f t="shared" si="1"/>
        <v>460889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4" customFormat="1">
      <c r="A74" s="4">
        <v>45</v>
      </c>
      <c r="B74" s="4" t="s">
        <v>118</v>
      </c>
      <c r="D74" s="4" t="s">
        <v>119</v>
      </c>
      <c r="F74" s="66">
        <v>0</v>
      </c>
      <c r="G74" s="66"/>
      <c r="H74" s="66">
        <v>1101287</v>
      </c>
      <c r="I74" s="66"/>
      <c r="J74" s="66">
        <v>1150</v>
      </c>
      <c r="K74" s="66"/>
      <c r="L74" s="66">
        <v>41497</v>
      </c>
      <c r="M74" s="66"/>
      <c r="N74" s="66">
        <v>0</v>
      </c>
      <c r="O74" s="66"/>
      <c r="P74" s="66">
        <v>0</v>
      </c>
      <c r="Q74" s="66"/>
      <c r="R74" s="66">
        <v>110872</v>
      </c>
      <c r="S74" s="66"/>
      <c r="T74" s="66">
        <v>15575</v>
      </c>
      <c r="U74" s="66"/>
      <c r="V74" s="66">
        <v>7795</v>
      </c>
      <c r="W74" s="66"/>
      <c r="X74" s="66">
        <v>123</v>
      </c>
      <c r="Y74" s="66"/>
      <c r="Z74" s="66">
        <v>78133</v>
      </c>
      <c r="AA74" s="66"/>
      <c r="AB74" s="66">
        <v>18006</v>
      </c>
      <c r="AC74" s="66"/>
      <c r="AD74" s="66">
        <v>0</v>
      </c>
      <c r="AF74" s="4">
        <v>0</v>
      </c>
      <c r="AH74" s="4">
        <f t="shared" si="1"/>
        <v>1374438</v>
      </c>
    </row>
    <row r="75" spans="1:66" s="4" customFormat="1">
      <c r="A75" s="4">
        <v>47</v>
      </c>
      <c r="B75" s="4" t="s">
        <v>120</v>
      </c>
      <c r="D75" s="4" t="s">
        <v>50</v>
      </c>
      <c r="F75" s="6">
        <v>0</v>
      </c>
      <c r="G75" s="6"/>
      <c r="H75" s="6">
        <v>402772.47999999998</v>
      </c>
      <c r="I75" s="6"/>
      <c r="J75" s="6">
        <v>0</v>
      </c>
      <c r="K75" s="6"/>
      <c r="L75" s="6">
        <v>11009.2</v>
      </c>
      <c r="M75" s="6"/>
      <c r="N75" s="6">
        <v>0</v>
      </c>
      <c r="O75" s="6"/>
      <c r="P75" s="6">
        <v>0</v>
      </c>
      <c r="Q75" s="6"/>
      <c r="R75" s="6">
        <v>2484.37</v>
      </c>
      <c r="S75" s="6"/>
      <c r="T75" s="6">
        <v>22865.33</v>
      </c>
      <c r="U75" s="6"/>
      <c r="V75" s="6">
        <v>1823.73</v>
      </c>
      <c r="W75" s="6"/>
      <c r="X75" s="6">
        <v>0</v>
      </c>
      <c r="Y75" s="6"/>
      <c r="Z75" s="6">
        <v>0</v>
      </c>
      <c r="AA75" s="6"/>
      <c r="AB75" s="6">
        <v>0</v>
      </c>
      <c r="AC75" s="6"/>
      <c r="AD75" s="6">
        <v>0</v>
      </c>
      <c r="AE75" s="6"/>
      <c r="AF75" s="6">
        <v>0</v>
      </c>
      <c r="AG75" s="6"/>
      <c r="AH75" s="6">
        <f>SUM(F75:AF75)</f>
        <v>440955.11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4" customFormat="1">
      <c r="A76" s="4">
        <v>51</v>
      </c>
      <c r="B76" s="4" t="s">
        <v>585</v>
      </c>
      <c r="D76" s="4" t="s">
        <v>17</v>
      </c>
      <c r="F76" s="66">
        <v>39214412</v>
      </c>
      <c r="G76" s="66"/>
      <c r="H76" s="66">
        <v>0</v>
      </c>
      <c r="I76" s="66"/>
      <c r="J76" s="66">
        <v>28034159</v>
      </c>
      <c r="K76" s="66"/>
      <c r="L76" s="66">
        <v>1319361</v>
      </c>
      <c r="M76" s="66"/>
      <c r="N76" s="66">
        <v>26573</v>
      </c>
      <c r="O76" s="66"/>
      <c r="P76" s="66">
        <v>0</v>
      </c>
      <c r="Q76" s="66"/>
      <c r="R76" s="66">
        <v>1937807</v>
      </c>
      <c r="S76" s="66"/>
      <c r="T76" s="66">
        <v>697376</v>
      </c>
      <c r="U76" s="66"/>
      <c r="V76" s="66">
        <f>103214+83911</f>
        <v>187125</v>
      </c>
      <c r="W76" s="66"/>
      <c r="X76" s="66">
        <v>7905</v>
      </c>
      <c r="Y76" s="66"/>
      <c r="Z76" s="66">
        <v>12092755</v>
      </c>
      <c r="AA76" s="66"/>
      <c r="AB76" s="66">
        <v>0</v>
      </c>
      <c r="AC76" s="66"/>
      <c r="AD76" s="66">
        <v>0</v>
      </c>
      <c r="AF76" s="4">
        <v>0</v>
      </c>
      <c r="AH76" s="4">
        <f t="shared" ref="AH76:AH86" si="3">SUM(F76:AD76)</f>
        <v>83517473</v>
      </c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4" customFormat="1">
      <c r="B77" s="4" t="s">
        <v>606</v>
      </c>
      <c r="D77" s="4" t="s">
        <v>20</v>
      </c>
      <c r="F77" s="66">
        <v>978692</v>
      </c>
      <c r="G77" s="66"/>
      <c r="H77" s="66">
        <v>1322436</v>
      </c>
      <c r="I77" s="66"/>
      <c r="J77" s="66">
        <v>0</v>
      </c>
      <c r="K77" s="66"/>
      <c r="L77" s="66">
        <v>11257</v>
      </c>
      <c r="M77" s="66"/>
      <c r="N77" s="66">
        <v>0</v>
      </c>
      <c r="O77" s="66"/>
      <c r="P77" s="66">
        <v>0</v>
      </c>
      <c r="Q77" s="66"/>
      <c r="R77" s="66">
        <v>13483</v>
      </c>
      <c r="S77" s="66"/>
      <c r="T77" s="66">
        <v>1183</v>
      </c>
      <c r="U77" s="66"/>
      <c r="V77" s="66">
        <v>9954</v>
      </c>
      <c r="W77" s="66"/>
      <c r="X77" s="66">
        <v>0</v>
      </c>
      <c r="Y77" s="66"/>
      <c r="Z77" s="66">
        <v>0</v>
      </c>
      <c r="AA77" s="66"/>
      <c r="AB77" s="66">
        <v>0</v>
      </c>
      <c r="AC77" s="66"/>
      <c r="AD77" s="66">
        <v>0</v>
      </c>
      <c r="AF77" s="4">
        <v>0</v>
      </c>
      <c r="AH77" s="4">
        <f t="shared" si="3"/>
        <v>2337005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4" customFormat="1">
      <c r="A78" s="4">
        <v>169</v>
      </c>
      <c r="B78" s="4" t="s">
        <v>122</v>
      </c>
      <c r="D78" s="4" t="s">
        <v>53</v>
      </c>
      <c r="F78" s="67">
        <v>11623962</v>
      </c>
      <c r="G78" s="66"/>
      <c r="H78" s="66">
        <v>0</v>
      </c>
      <c r="I78" s="66"/>
      <c r="J78" s="67">
        <v>17603989</v>
      </c>
      <c r="K78" s="66"/>
      <c r="L78" s="67">
        <v>622947</v>
      </c>
      <c r="M78" s="66"/>
      <c r="N78" s="66">
        <v>0</v>
      </c>
      <c r="O78" s="66"/>
      <c r="P78" s="67">
        <v>98457</v>
      </c>
      <c r="Q78" s="66"/>
      <c r="R78" s="67">
        <v>59454</v>
      </c>
      <c r="S78" s="66"/>
      <c r="T78" s="67">
        <v>49921</v>
      </c>
      <c r="U78" s="66"/>
      <c r="V78" s="67">
        <v>41362</v>
      </c>
      <c r="W78" s="66"/>
      <c r="X78" s="66">
        <v>24736</v>
      </c>
      <c r="Y78" s="66"/>
      <c r="Z78" s="66">
        <v>3023795</v>
      </c>
      <c r="AA78" s="66"/>
      <c r="AB78" s="66">
        <v>0</v>
      </c>
      <c r="AC78" s="66"/>
      <c r="AD78" s="66">
        <v>0</v>
      </c>
      <c r="AF78" s="4">
        <v>0</v>
      </c>
      <c r="AH78" s="4">
        <f t="shared" si="3"/>
        <v>33148623</v>
      </c>
    </row>
    <row r="79" spans="1:66" s="4" customFormat="1">
      <c r="A79" s="4">
        <v>62</v>
      </c>
      <c r="B79" s="4" t="s">
        <v>123</v>
      </c>
      <c r="D79" s="4" t="s">
        <v>124</v>
      </c>
      <c r="F79" s="67">
        <v>448382</v>
      </c>
      <c r="G79" s="66"/>
      <c r="H79" s="67">
        <v>1186174</v>
      </c>
      <c r="I79" s="66"/>
      <c r="J79" s="67">
        <v>65381</v>
      </c>
      <c r="K79" s="66"/>
      <c r="L79" s="67">
        <v>25016</v>
      </c>
      <c r="M79" s="66"/>
      <c r="N79" s="66">
        <v>0</v>
      </c>
      <c r="O79" s="66"/>
      <c r="P79" s="66">
        <v>0</v>
      </c>
      <c r="Q79" s="66"/>
      <c r="R79" s="67">
        <v>169432</v>
      </c>
      <c r="S79" s="66"/>
      <c r="T79" s="67">
        <v>5476</v>
      </c>
      <c r="U79" s="66"/>
      <c r="V79" s="67">
        <f>11059+3857</f>
        <v>14916</v>
      </c>
      <c r="W79" s="66"/>
      <c r="X79" s="67">
        <v>3348</v>
      </c>
      <c r="Y79" s="66"/>
      <c r="Z79" s="66">
        <v>601634</v>
      </c>
      <c r="AA79" s="66"/>
      <c r="AB79" s="66">
        <v>269940</v>
      </c>
      <c r="AC79" s="66"/>
      <c r="AD79" s="66">
        <v>0</v>
      </c>
      <c r="AF79" s="4">
        <v>0</v>
      </c>
      <c r="AH79" s="4">
        <f t="shared" si="3"/>
        <v>2789699</v>
      </c>
    </row>
    <row r="80" spans="1:66" s="4" customFormat="1">
      <c r="A80" s="4">
        <v>64</v>
      </c>
      <c r="B80" s="4" t="s">
        <v>125</v>
      </c>
      <c r="D80" s="4" t="s">
        <v>68</v>
      </c>
      <c r="F80" s="67">
        <v>4261342</v>
      </c>
      <c r="G80" s="66"/>
      <c r="H80" s="67">
        <v>1908957</v>
      </c>
      <c r="I80" s="66"/>
      <c r="J80" s="67">
        <v>550048</v>
      </c>
      <c r="K80" s="66"/>
      <c r="L80" s="67">
        <v>65980</v>
      </c>
      <c r="M80" s="66"/>
      <c r="N80" s="66">
        <v>0</v>
      </c>
      <c r="O80" s="66"/>
      <c r="P80" s="67">
        <v>385</v>
      </c>
      <c r="Q80" s="66"/>
      <c r="R80" s="67">
        <v>116471</v>
      </c>
      <c r="S80" s="66"/>
      <c r="T80" s="67">
        <v>37514</v>
      </c>
      <c r="U80" s="66"/>
      <c r="V80" s="67">
        <v>31973</v>
      </c>
      <c r="W80" s="66"/>
      <c r="X80" s="66">
        <v>0</v>
      </c>
      <c r="Y80" s="66"/>
      <c r="Z80" s="67">
        <v>24358</v>
      </c>
      <c r="AA80" s="66"/>
      <c r="AB80" s="66">
        <v>0</v>
      </c>
      <c r="AC80" s="66"/>
      <c r="AD80" s="66">
        <v>0</v>
      </c>
      <c r="AF80" s="4">
        <v>0</v>
      </c>
      <c r="AH80" s="4">
        <f t="shared" si="3"/>
        <v>6997028</v>
      </c>
    </row>
    <row r="81" spans="1:66" s="4" customFormat="1">
      <c r="A81" s="4">
        <v>4</v>
      </c>
      <c r="B81" s="4" t="s">
        <v>126</v>
      </c>
      <c r="D81" s="4" t="s">
        <v>95</v>
      </c>
      <c r="F81" s="15">
        <v>50217.760000000002</v>
      </c>
      <c r="G81" s="15"/>
      <c r="H81" s="15">
        <v>321140.86</v>
      </c>
      <c r="I81" s="15"/>
      <c r="J81" s="15">
        <v>20106.89</v>
      </c>
      <c r="K81" s="15"/>
      <c r="L81" s="15">
        <v>7111.47</v>
      </c>
      <c r="M81" s="15"/>
      <c r="N81" s="15">
        <v>0</v>
      </c>
      <c r="O81" s="15"/>
      <c r="P81" s="15">
        <v>0</v>
      </c>
      <c r="Q81" s="15"/>
      <c r="R81" s="15">
        <v>24159.8</v>
      </c>
      <c r="S81" s="15"/>
      <c r="T81" s="15">
        <v>3215.84</v>
      </c>
      <c r="U81" s="15"/>
      <c r="V81" s="15">
        <v>11648.19</v>
      </c>
      <c r="W81" s="15"/>
      <c r="X81" s="15">
        <v>0</v>
      </c>
      <c r="Y81" s="15"/>
      <c r="Z81" s="15">
        <v>0</v>
      </c>
      <c r="AA81" s="15"/>
      <c r="AB81" s="15">
        <v>0</v>
      </c>
      <c r="AC81" s="15"/>
      <c r="AD81" s="15">
        <v>0</v>
      </c>
      <c r="AE81" s="15"/>
      <c r="AF81" s="15">
        <v>0</v>
      </c>
      <c r="AG81" s="15"/>
      <c r="AH81" s="15">
        <f>SUM(F81:AF81)</f>
        <v>437600.81</v>
      </c>
    </row>
    <row r="82" spans="1:66" s="4" customFormat="1">
      <c r="A82" s="4">
        <v>83</v>
      </c>
      <c r="B82" s="4" t="s">
        <v>127</v>
      </c>
      <c r="D82" s="4" t="s">
        <v>40</v>
      </c>
      <c r="F82" s="6">
        <v>93481.57</v>
      </c>
      <c r="G82" s="6"/>
      <c r="H82" s="6">
        <v>226605.5</v>
      </c>
      <c r="I82" s="6"/>
      <c r="J82" s="6">
        <v>30094.59</v>
      </c>
      <c r="K82" s="6"/>
      <c r="L82" s="6">
        <v>10353.67</v>
      </c>
      <c r="M82" s="6"/>
      <c r="N82" s="6">
        <v>0</v>
      </c>
      <c r="O82" s="6"/>
      <c r="P82" s="6">
        <v>0</v>
      </c>
      <c r="Q82" s="6"/>
      <c r="R82" s="6">
        <v>14910.18</v>
      </c>
      <c r="S82" s="6"/>
      <c r="T82" s="6">
        <v>1449.66</v>
      </c>
      <c r="U82" s="6"/>
      <c r="V82" s="6">
        <v>1801.72</v>
      </c>
      <c r="W82" s="6"/>
      <c r="X82" s="6">
        <v>5</v>
      </c>
      <c r="Y82" s="6"/>
      <c r="Z82" s="6">
        <v>30154.21</v>
      </c>
      <c r="AA82" s="6"/>
      <c r="AB82" s="6">
        <v>0</v>
      </c>
      <c r="AC82" s="6"/>
      <c r="AD82" s="6">
        <v>0</v>
      </c>
      <c r="AE82" s="6"/>
      <c r="AF82" s="6">
        <v>0</v>
      </c>
      <c r="AG82" s="6"/>
      <c r="AH82" s="6">
        <f>SUM(F82:AF82)</f>
        <v>408856.1</v>
      </c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4" customFormat="1">
      <c r="A83" s="4">
        <v>258</v>
      </c>
      <c r="B83" s="4" t="s">
        <v>128</v>
      </c>
      <c r="D83" s="4" t="s">
        <v>61</v>
      </c>
      <c r="F83" s="67">
        <v>141137</v>
      </c>
      <c r="G83" s="66"/>
      <c r="H83" s="67">
        <v>251139</v>
      </c>
      <c r="I83" s="66"/>
      <c r="J83" s="66">
        <v>0</v>
      </c>
      <c r="K83" s="66"/>
      <c r="L83" s="67">
        <v>9216</v>
      </c>
      <c r="M83" s="66"/>
      <c r="N83" s="66">
        <v>0</v>
      </c>
      <c r="O83" s="66"/>
      <c r="P83" s="66">
        <v>0</v>
      </c>
      <c r="Q83" s="66"/>
      <c r="R83" s="67">
        <v>15070</v>
      </c>
      <c r="S83" s="66"/>
      <c r="T83" s="67">
        <v>1772</v>
      </c>
      <c r="U83" s="66"/>
      <c r="V83" s="66">
        <v>0</v>
      </c>
      <c r="W83" s="66"/>
      <c r="X83" s="66">
        <v>0</v>
      </c>
      <c r="Y83" s="66"/>
      <c r="Z83" s="66">
        <v>50000</v>
      </c>
      <c r="AA83" s="66"/>
      <c r="AB83" s="66">
        <v>0</v>
      </c>
      <c r="AC83" s="66"/>
      <c r="AD83" s="66">
        <v>0</v>
      </c>
      <c r="AF83" s="4">
        <v>0</v>
      </c>
      <c r="AH83" s="4">
        <f t="shared" si="3"/>
        <v>468334</v>
      </c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4" customFormat="1">
      <c r="A84" s="4">
        <v>232</v>
      </c>
      <c r="B84" s="4" t="s">
        <v>129</v>
      </c>
      <c r="D84" s="4" t="s">
        <v>24</v>
      </c>
      <c r="F84" s="66">
        <v>0</v>
      </c>
      <c r="G84" s="66"/>
      <c r="H84" s="67">
        <v>598164</v>
      </c>
      <c r="I84" s="66"/>
      <c r="J84" s="66">
        <v>0</v>
      </c>
      <c r="K84" s="66"/>
      <c r="L84" s="67">
        <v>27002</v>
      </c>
      <c r="M84" s="66"/>
      <c r="N84" s="66">
        <v>0</v>
      </c>
      <c r="O84" s="66"/>
      <c r="P84" s="66">
        <v>0</v>
      </c>
      <c r="Q84" s="66"/>
      <c r="R84" s="67">
        <v>5845</v>
      </c>
      <c r="S84" s="66"/>
      <c r="T84" s="67">
        <v>764</v>
      </c>
      <c r="U84" s="66"/>
      <c r="V84" s="67">
        <v>9280</v>
      </c>
      <c r="W84" s="66"/>
      <c r="X84" s="66">
        <v>0</v>
      </c>
      <c r="Y84" s="66"/>
      <c r="Z84" s="66">
        <v>0</v>
      </c>
      <c r="AA84" s="66"/>
      <c r="AB84" s="66">
        <v>0</v>
      </c>
      <c r="AC84" s="66"/>
      <c r="AD84" s="66">
        <v>0</v>
      </c>
      <c r="AF84" s="4">
        <v>0</v>
      </c>
      <c r="AH84" s="4">
        <f t="shared" si="3"/>
        <v>641055</v>
      </c>
    </row>
    <row r="85" spans="1:66" s="4" customFormat="1">
      <c r="A85" s="4">
        <v>88</v>
      </c>
      <c r="B85" s="4" t="s">
        <v>332</v>
      </c>
      <c r="D85" s="4" t="s">
        <v>130</v>
      </c>
      <c r="F85" s="6">
        <v>811872.41</v>
      </c>
      <c r="G85" s="6"/>
      <c r="H85" s="6">
        <v>944894.92</v>
      </c>
      <c r="I85" s="6"/>
      <c r="J85" s="6">
        <v>107689.54</v>
      </c>
      <c r="K85" s="6"/>
      <c r="L85" s="6">
        <v>39896.1</v>
      </c>
      <c r="M85" s="6"/>
      <c r="N85" s="6">
        <v>0</v>
      </c>
      <c r="O85" s="6"/>
      <c r="P85" s="6">
        <v>0</v>
      </c>
      <c r="Q85" s="6"/>
      <c r="R85" s="6">
        <v>4911</v>
      </c>
      <c r="S85" s="6"/>
      <c r="T85" s="6">
        <v>7871.31</v>
      </c>
      <c r="U85" s="6"/>
      <c r="V85" s="6">
        <v>20799.03</v>
      </c>
      <c r="W85" s="6"/>
      <c r="X85" s="6">
        <v>585.21</v>
      </c>
      <c r="Y85" s="6"/>
      <c r="Z85" s="6">
        <v>750000</v>
      </c>
      <c r="AA85" s="6"/>
      <c r="AB85" s="6">
        <v>0</v>
      </c>
      <c r="AC85" s="6"/>
      <c r="AD85" s="6">
        <v>0</v>
      </c>
      <c r="AE85" s="6"/>
      <c r="AF85" s="6">
        <v>0</v>
      </c>
      <c r="AG85" s="6"/>
      <c r="AH85" s="6">
        <f>SUM(F85:AF85)</f>
        <v>2688519.5200000005</v>
      </c>
    </row>
    <row r="86" spans="1:66" s="4" customFormat="1">
      <c r="A86" s="4">
        <v>138</v>
      </c>
      <c r="B86" s="4" t="s">
        <v>131</v>
      </c>
      <c r="D86" s="4" t="s">
        <v>85</v>
      </c>
      <c r="F86" s="67">
        <v>20454</v>
      </c>
      <c r="G86" s="66"/>
      <c r="H86" s="67">
        <v>51236</v>
      </c>
      <c r="I86" s="66"/>
      <c r="J86" s="67">
        <v>3098</v>
      </c>
      <c r="K86" s="66"/>
      <c r="L86" s="67">
        <v>88</v>
      </c>
      <c r="M86" s="66"/>
      <c r="N86" s="66">
        <v>0</v>
      </c>
      <c r="O86" s="66"/>
      <c r="P86" s="66">
        <v>0</v>
      </c>
      <c r="Q86" s="66"/>
      <c r="R86" s="67">
        <v>103</v>
      </c>
      <c r="S86" s="66"/>
      <c r="T86" s="67">
        <v>1060</v>
      </c>
      <c r="U86" s="66"/>
      <c r="V86" s="67">
        <v>914</v>
      </c>
      <c r="W86" s="66"/>
      <c r="X86" s="66">
        <v>0</v>
      </c>
      <c r="Y86" s="66"/>
      <c r="Z86" s="66">
        <v>0</v>
      </c>
      <c r="AA86" s="66"/>
      <c r="AB86" s="66">
        <v>0</v>
      </c>
      <c r="AC86" s="66"/>
      <c r="AD86" s="66">
        <v>0</v>
      </c>
      <c r="AF86" s="4">
        <v>0</v>
      </c>
      <c r="AH86" s="4">
        <f t="shared" si="3"/>
        <v>76953</v>
      </c>
    </row>
    <row r="87" spans="1:66" s="4" customFormat="1"/>
    <row r="88" spans="1:66" s="4" customFormat="1">
      <c r="AH88" s="43" t="s">
        <v>580</v>
      </c>
    </row>
    <row r="89" spans="1:66">
      <c r="B89" s="3" t="s">
        <v>518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66">
      <c r="B90" s="3" t="s">
        <v>626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66">
      <c r="B91" s="41" t="s">
        <v>5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66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66" s="36" customFormat="1">
      <c r="F93" s="28"/>
      <c r="G93" s="28"/>
      <c r="H93" s="28" t="s">
        <v>280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66" s="36" customFormat="1">
      <c r="F94" s="28" t="s">
        <v>29</v>
      </c>
      <c r="G94" s="28"/>
      <c r="H94" s="28" t="s">
        <v>281</v>
      </c>
      <c r="I94" s="28"/>
      <c r="J94" s="28"/>
      <c r="K94" s="28"/>
      <c r="L94" s="28"/>
      <c r="M94" s="28"/>
      <c r="N94" s="28"/>
      <c r="O94" s="28"/>
      <c r="P94" s="28" t="s">
        <v>27</v>
      </c>
      <c r="Q94" s="28"/>
      <c r="R94" s="28" t="s">
        <v>287</v>
      </c>
      <c r="S94" s="28"/>
      <c r="T94" s="28"/>
      <c r="U94" s="28"/>
      <c r="V94" s="28"/>
      <c r="W94" s="28"/>
      <c r="X94" s="28" t="s">
        <v>292</v>
      </c>
      <c r="Y94" s="28"/>
      <c r="Z94" s="28"/>
      <c r="AA94" s="28"/>
      <c r="AB94" s="28"/>
      <c r="AC94" s="28"/>
      <c r="AD94" s="28" t="s">
        <v>0</v>
      </c>
      <c r="AE94" s="28"/>
      <c r="AF94" s="28"/>
      <c r="AG94" s="28"/>
      <c r="AH94" s="28"/>
    </row>
    <row r="95" spans="1:66" s="36" customFormat="1" ht="12" customHeight="1">
      <c r="F95" s="28" t="s">
        <v>0</v>
      </c>
      <c r="G95" s="28"/>
      <c r="H95" s="28" t="s">
        <v>282</v>
      </c>
      <c r="I95" s="28"/>
      <c r="J95" s="28" t="s">
        <v>344</v>
      </c>
      <c r="K95" s="28"/>
      <c r="L95" s="28" t="s">
        <v>284</v>
      </c>
      <c r="M95" s="28"/>
      <c r="N95" s="28"/>
      <c r="O95" s="28"/>
      <c r="P95" s="28" t="s">
        <v>286</v>
      </c>
      <c r="Q95" s="28"/>
      <c r="R95" s="28" t="s">
        <v>288</v>
      </c>
      <c r="S95" s="28"/>
      <c r="T95" s="28" t="s">
        <v>290</v>
      </c>
      <c r="U95" s="28"/>
      <c r="V95" s="28"/>
      <c r="W95" s="28"/>
      <c r="X95" s="28" t="s">
        <v>293</v>
      </c>
      <c r="Y95" s="28"/>
      <c r="Z95" s="28"/>
      <c r="AA95" s="28"/>
      <c r="AB95" s="28"/>
      <c r="AC95" s="28"/>
      <c r="AD95" s="28" t="s">
        <v>294</v>
      </c>
      <c r="AE95" s="28"/>
      <c r="AF95" s="28" t="s">
        <v>636</v>
      </c>
      <c r="AG95" s="28"/>
      <c r="AH95" s="28"/>
    </row>
    <row r="96" spans="1:66" s="36" customFormat="1" ht="12" customHeight="1">
      <c r="A96" s="36" t="s">
        <v>567</v>
      </c>
      <c r="B96" s="37"/>
      <c r="C96" s="44"/>
      <c r="D96" s="37" t="s">
        <v>4</v>
      </c>
      <c r="E96" s="44"/>
      <c r="F96" s="52" t="s">
        <v>279</v>
      </c>
      <c r="G96" s="49"/>
      <c r="H96" s="52" t="s">
        <v>283</v>
      </c>
      <c r="I96" s="49"/>
      <c r="J96" s="52" t="s">
        <v>345</v>
      </c>
      <c r="K96" s="49"/>
      <c r="L96" s="52" t="s">
        <v>285</v>
      </c>
      <c r="M96" s="49"/>
      <c r="N96" s="52" t="s">
        <v>549</v>
      </c>
      <c r="O96" s="49"/>
      <c r="P96" s="52" t="s">
        <v>551</v>
      </c>
      <c r="Q96" s="49"/>
      <c r="R96" s="52" t="s">
        <v>289</v>
      </c>
      <c r="S96" s="49"/>
      <c r="T96" s="52" t="s">
        <v>291</v>
      </c>
      <c r="U96" s="49"/>
      <c r="V96" s="52" t="s">
        <v>1</v>
      </c>
      <c r="W96" s="49"/>
      <c r="X96" s="52" t="s">
        <v>30</v>
      </c>
      <c r="Y96" s="49"/>
      <c r="Z96" s="52" t="s">
        <v>502</v>
      </c>
      <c r="AA96" s="49"/>
      <c r="AB96" s="52" t="s">
        <v>503</v>
      </c>
      <c r="AC96" s="49"/>
      <c r="AD96" s="52" t="s">
        <v>295</v>
      </c>
      <c r="AE96" s="49"/>
      <c r="AF96" s="52" t="s">
        <v>418</v>
      </c>
      <c r="AG96" s="49"/>
      <c r="AH96" s="40" t="s">
        <v>26</v>
      </c>
    </row>
    <row r="97" spans="1:66" s="4" customFormat="1">
      <c r="A97" s="4">
        <v>52</v>
      </c>
      <c r="B97" s="4" t="s">
        <v>449</v>
      </c>
      <c r="D97" s="4" t="s">
        <v>17</v>
      </c>
      <c r="F97" s="75">
        <v>956614.49</v>
      </c>
      <c r="G97" s="75"/>
      <c r="H97" s="75">
        <v>1212123.6200000001</v>
      </c>
      <c r="I97" s="75"/>
      <c r="J97" s="75">
        <v>361581.59</v>
      </c>
      <c r="K97" s="75"/>
      <c r="L97" s="75">
        <v>6755.03</v>
      </c>
      <c r="M97" s="75"/>
      <c r="N97" s="75">
        <v>0</v>
      </c>
      <c r="O97" s="75"/>
      <c r="P97" s="75">
        <v>0</v>
      </c>
      <c r="Q97" s="75"/>
      <c r="R97" s="75">
        <v>10258.1</v>
      </c>
      <c r="S97" s="75"/>
      <c r="T97" s="75">
        <v>101.56</v>
      </c>
      <c r="U97" s="75"/>
      <c r="V97" s="75">
        <v>42070.23</v>
      </c>
      <c r="W97" s="75"/>
      <c r="X97" s="75">
        <v>14300</v>
      </c>
      <c r="Y97" s="75"/>
      <c r="Z97" s="75">
        <v>0</v>
      </c>
      <c r="AA97" s="75"/>
      <c r="AB97" s="75">
        <v>0</v>
      </c>
      <c r="AC97" s="75"/>
      <c r="AD97" s="75">
        <v>0</v>
      </c>
      <c r="AE97" s="75"/>
      <c r="AF97" s="75">
        <v>0</v>
      </c>
      <c r="AG97" s="75"/>
      <c r="AH97" s="75">
        <f>SUM(F97:AF97)</f>
        <v>2603804.62</v>
      </c>
    </row>
    <row r="98" spans="1:66" s="7" customFormat="1">
      <c r="A98" s="7">
        <v>39</v>
      </c>
      <c r="B98" s="7" t="s">
        <v>556</v>
      </c>
      <c r="D98" s="7" t="s">
        <v>49</v>
      </c>
      <c r="F98" s="6">
        <v>0</v>
      </c>
      <c r="G98" s="6"/>
      <c r="H98" s="6">
        <v>548690.56999999995</v>
      </c>
      <c r="I98" s="6"/>
      <c r="J98" s="6">
        <v>1700</v>
      </c>
      <c r="K98" s="6"/>
      <c r="L98" s="6">
        <v>6488.67</v>
      </c>
      <c r="M98" s="6"/>
      <c r="N98" s="6">
        <v>0</v>
      </c>
      <c r="O98" s="6"/>
      <c r="P98" s="6">
        <v>0</v>
      </c>
      <c r="Q98" s="6"/>
      <c r="R98" s="6">
        <v>3474.25</v>
      </c>
      <c r="S98" s="6"/>
      <c r="T98" s="6">
        <v>727.04</v>
      </c>
      <c r="U98" s="6"/>
      <c r="V98" s="6">
        <v>17287.75</v>
      </c>
      <c r="W98" s="6"/>
      <c r="X98" s="6">
        <v>0</v>
      </c>
      <c r="Y98" s="6"/>
      <c r="Z98" s="6">
        <v>0</v>
      </c>
      <c r="AA98" s="6"/>
      <c r="AB98" s="6">
        <v>0</v>
      </c>
      <c r="AC98" s="6"/>
      <c r="AD98" s="6">
        <v>0</v>
      </c>
      <c r="AE98" s="6"/>
      <c r="AF98" s="6">
        <v>0</v>
      </c>
      <c r="AG98" s="6"/>
      <c r="AH98" s="6">
        <f>SUM(F98:AF98)</f>
        <v>578368.28</v>
      </c>
    </row>
    <row r="99" spans="1:66" s="4" customFormat="1">
      <c r="A99" s="4">
        <v>40</v>
      </c>
      <c r="B99" s="4" t="s">
        <v>132</v>
      </c>
      <c r="D99" s="4" t="s">
        <v>49</v>
      </c>
      <c r="F99" s="6">
        <v>0</v>
      </c>
      <c r="G99" s="6"/>
      <c r="H99" s="6">
        <v>352080.06</v>
      </c>
      <c r="I99" s="6"/>
      <c r="J99" s="6">
        <v>1300</v>
      </c>
      <c r="K99" s="6"/>
      <c r="L99" s="6">
        <v>17394.3</v>
      </c>
      <c r="M99" s="6"/>
      <c r="N99" s="6">
        <v>0</v>
      </c>
      <c r="O99" s="6"/>
      <c r="P99" s="6">
        <v>0</v>
      </c>
      <c r="Q99" s="6"/>
      <c r="R99" s="6">
        <v>1036.1199999999999</v>
      </c>
      <c r="S99" s="6"/>
      <c r="T99" s="6">
        <v>4754.01</v>
      </c>
      <c r="U99" s="6"/>
      <c r="V99" s="6">
        <v>875</v>
      </c>
      <c r="W99" s="6"/>
      <c r="X99" s="6">
        <v>0</v>
      </c>
      <c r="Y99" s="6"/>
      <c r="Z99" s="6">
        <v>0</v>
      </c>
      <c r="AA99" s="6"/>
      <c r="AB99" s="6">
        <v>0</v>
      </c>
      <c r="AC99" s="6"/>
      <c r="AD99" s="6">
        <v>0</v>
      </c>
      <c r="AE99" s="6"/>
      <c r="AF99" s="6">
        <v>0</v>
      </c>
      <c r="AG99" s="6"/>
      <c r="AH99" s="6">
        <f>SUM(F99:AF99)</f>
        <v>377439.49</v>
      </c>
    </row>
    <row r="100" spans="1:66" s="4" customFormat="1">
      <c r="A100" s="4">
        <v>155</v>
      </c>
      <c r="B100" s="4" t="s">
        <v>423</v>
      </c>
      <c r="D100" s="4" t="s">
        <v>18</v>
      </c>
      <c r="F100" s="1">
        <v>935152</v>
      </c>
      <c r="G100" s="1"/>
      <c r="H100" s="1">
        <v>873612</v>
      </c>
      <c r="I100" s="1"/>
      <c r="J100" s="1">
        <v>159696</v>
      </c>
      <c r="K100" s="1"/>
      <c r="L100" s="1">
        <v>63468</v>
      </c>
      <c r="M100" s="1"/>
      <c r="N100" s="1">
        <v>0</v>
      </c>
      <c r="O100" s="1"/>
      <c r="P100" s="1">
        <v>0</v>
      </c>
      <c r="Q100" s="1"/>
      <c r="R100" s="1">
        <v>6596</v>
      </c>
      <c r="S100" s="1"/>
      <c r="T100" s="1">
        <v>10165</v>
      </c>
      <c r="U100" s="1"/>
      <c r="V100" s="1">
        <f>33000+9081</f>
        <v>42081</v>
      </c>
      <c r="W100" s="1"/>
      <c r="X100" s="1">
        <v>0</v>
      </c>
      <c r="Y100" s="1"/>
      <c r="Z100" s="1">
        <v>5402</v>
      </c>
      <c r="AA100" s="1"/>
      <c r="AB100" s="1">
        <v>0</v>
      </c>
      <c r="AC100" s="1"/>
      <c r="AD100" s="1">
        <v>0</v>
      </c>
      <c r="AF100" s="4">
        <v>0</v>
      </c>
      <c r="AH100" s="4">
        <f t="shared" ref="AH100:AH162" si="4">SUM(F100:AD100)</f>
        <v>2096172</v>
      </c>
    </row>
    <row r="101" spans="1:66" s="4" customFormat="1">
      <c r="A101" s="4">
        <v>142</v>
      </c>
      <c r="B101" s="4" t="s">
        <v>133</v>
      </c>
      <c r="D101" s="4" t="s">
        <v>55</v>
      </c>
      <c r="F101" s="1">
        <v>1578107</v>
      </c>
      <c r="G101" s="1"/>
      <c r="H101" s="1">
        <v>1986664</v>
      </c>
      <c r="I101" s="1"/>
      <c r="J101" s="1">
        <v>232534</v>
      </c>
      <c r="K101" s="1"/>
      <c r="L101" s="1">
        <v>97281</v>
      </c>
      <c r="M101" s="1"/>
      <c r="N101" s="1">
        <v>0</v>
      </c>
      <c r="O101" s="1"/>
      <c r="P101" s="1">
        <v>0</v>
      </c>
      <c r="Q101" s="1"/>
      <c r="R101" s="1">
        <v>132467</v>
      </c>
      <c r="S101" s="1"/>
      <c r="T101" s="1">
        <v>18768</v>
      </c>
      <c r="U101" s="1"/>
      <c r="V101" s="1">
        <v>12504</v>
      </c>
      <c r="W101" s="1"/>
      <c r="X101" s="1">
        <v>0</v>
      </c>
      <c r="Y101" s="1"/>
      <c r="Z101" s="1">
        <v>0</v>
      </c>
      <c r="AA101" s="1"/>
      <c r="AB101" s="1">
        <v>0</v>
      </c>
      <c r="AC101" s="1"/>
      <c r="AD101" s="1">
        <v>0</v>
      </c>
      <c r="AF101" s="4">
        <v>0</v>
      </c>
      <c r="AH101" s="4">
        <f t="shared" si="4"/>
        <v>4058325</v>
      </c>
    </row>
    <row r="102" spans="1:66" s="4" customFormat="1">
      <c r="A102" s="4">
        <v>53</v>
      </c>
      <c r="B102" s="4" t="s">
        <v>16</v>
      </c>
      <c r="D102" s="4" t="s">
        <v>17</v>
      </c>
      <c r="F102" s="1">
        <v>2505208</v>
      </c>
      <c r="G102" s="1"/>
      <c r="H102" s="1">
        <v>1690996</v>
      </c>
      <c r="I102" s="1"/>
      <c r="J102" s="1">
        <v>583896</v>
      </c>
      <c r="K102" s="1"/>
      <c r="L102" s="1">
        <v>123127</v>
      </c>
      <c r="M102" s="1"/>
      <c r="N102" s="1">
        <v>0</v>
      </c>
      <c r="O102" s="1"/>
      <c r="P102" s="1">
        <v>0</v>
      </c>
      <c r="Q102" s="1"/>
      <c r="R102" s="1">
        <v>39660</v>
      </c>
      <c r="S102" s="1"/>
      <c r="T102" s="1">
        <v>15008</v>
      </c>
      <c r="U102" s="1"/>
      <c r="V102" s="1">
        <v>15923</v>
      </c>
      <c r="W102" s="1"/>
      <c r="X102" s="1">
        <v>0</v>
      </c>
      <c r="Y102" s="1"/>
      <c r="Z102" s="1">
        <v>0</v>
      </c>
      <c r="AA102" s="1"/>
      <c r="AB102" s="1">
        <v>0</v>
      </c>
      <c r="AC102" s="1"/>
      <c r="AD102" s="1">
        <v>0</v>
      </c>
      <c r="AF102" s="4">
        <v>0</v>
      </c>
      <c r="AH102" s="4">
        <f t="shared" si="4"/>
        <v>4973818</v>
      </c>
    </row>
    <row r="103" spans="1:66" s="4" customFormat="1">
      <c r="A103" s="4">
        <v>84</v>
      </c>
      <c r="B103" s="4" t="s">
        <v>134</v>
      </c>
      <c r="D103" s="4" t="s">
        <v>40</v>
      </c>
      <c r="F103" s="73">
        <v>0</v>
      </c>
      <c r="G103" s="73"/>
      <c r="H103" s="73">
        <v>244814.73</v>
      </c>
      <c r="I103" s="73"/>
      <c r="J103" s="73">
        <v>0</v>
      </c>
      <c r="K103" s="73"/>
      <c r="L103" s="73">
        <v>5723.48</v>
      </c>
      <c r="M103" s="73"/>
      <c r="N103" s="73">
        <v>0</v>
      </c>
      <c r="O103" s="73"/>
      <c r="P103" s="73">
        <v>0</v>
      </c>
      <c r="Q103" s="73"/>
      <c r="R103" s="73">
        <v>13999.96</v>
      </c>
      <c r="S103" s="73"/>
      <c r="T103" s="73">
        <v>529.79</v>
      </c>
      <c r="U103" s="73"/>
      <c r="V103" s="73">
        <v>12495.03</v>
      </c>
      <c r="W103" s="73"/>
      <c r="X103" s="73">
        <v>0</v>
      </c>
      <c r="Y103" s="73"/>
      <c r="Z103" s="73">
        <v>0</v>
      </c>
      <c r="AA103" s="73"/>
      <c r="AB103" s="73">
        <v>0</v>
      </c>
      <c r="AC103" s="73"/>
      <c r="AD103" s="73">
        <v>0</v>
      </c>
      <c r="AE103" s="73"/>
      <c r="AF103" s="73">
        <v>0</v>
      </c>
      <c r="AG103" s="73"/>
      <c r="AH103" s="73">
        <f>SUM(F103:AF103)</f>
        <v>277562.99000000005</v>
      </c>
    </row>
    <row r="104" spans="1:66" s="4" customFormat="1">
      <c r="B104" s="4" t="s">
        <v>623</v>
      </c>
      <c r="D104" s="4" t="s">
        <v>87</v>
      </c>
      <c r="F104" s="1">
        <v>7000</v>
      </c>
      <c r="G104" s="1"/>
      <c r="H104" s="1">
        <v>631292</v>
      </c>
      <c r="I104" s="1"/>
      <c r="J104" s="1">
        <v>0</v>
      </c>
      <c r="K104" s="1"/>
      <c r="L104" s="1">
        <v>26405</v>
      </c>
      <c r="M104" s="1"/>
      <c r="N104" s="1">
        <v>0</v>
      </c>
      <c r="O104" s="1"/>
      <c r="P104" s="1">
        <v>0</v>
      </c>
      <c r="Q104" s="1"/>
      <c r="R104" s="1">
        <v>23581</v>
      </c>
      <c r="S104" s="1"/>
      <c r="T104" s="1">
        <v>2832</v>
      </c>
      <c r="U104" s="1"/>
      <c r="V104" s="1">
        <v>14613</v>
      </c>
      <c r="W104" s="1"/>
      <c r="X104" s="1">
        <v>0</v>
      </c>
      <c r="Y104" s="1"/>
      <c r="Z104" s="1">
        <v>0</v>
      </c>
      <c r="AA104" s="1"/>
      <c r="AB104" s="1">
        <v>0</v>
      </c>
      <c r="AC104" s="1"/>
      <c r="AD104" s="1">
        <v>0</v>
      </c>
      <c r="AF104" s="4">
        <v>0</v>
      </c>
      <c r="AH104" s="4">
        <f t="shared" si="4"/>
        <v>705723</v>
      </c>
    </row>
    <row r="105" spans="1:66" s="4" customFormat="1">
      <c r="A105" s="4">
        <v>70</v>
      </c>
      <c r="B105" s="4" t="s">
        <v>430</v>
      </c>
      <c r="D105" s="4" t="s">
        <v>65</v>
      </c>
      <c r="F105" s="1">
        <v>949953</v>
      </c>
      <c r="G105" s="1"/>
      <c r="H105" s="1">
        <v>2338144</v>
      </c>
      <c r="I105" s="1"/>
      <c r="J105" s="1">
        <v>5444</v>
      </c>
      <c r="K105" s="1"/>
      <c r="L105" s="1">
        <v>119824</v>
      </c>
      <c r="M105" s="1"/>
      <c r="N105" s="1">
        <v>0</v>
      </c>
      <c r="O105" s="1"/>
      <c r="P105" s="1">
        <v>0</v>
      </c>
      <c r="Q105" s="1"/>
      <c r="R105" s="1">
        <v>59102</v>
      </c>
      <c r="S105" s="1"/>
      <c r="T105" s="1">
        <v>1229</v>
      </c>
      <c r="U105" s="1"/>
      <c r="V105" s="1">
        <v>70623</v>
      </c>
      <c r="W105" s="1"/>
      <c r="X105" s="1">
        <v>0</v>
      </c>
      <c r="Y105" s="1"/>
      <c r="Z105" s="1">
        <v>341438</v>
      </c>
      <c r="AA105" s="1"/>
      <c r="AB105" s="1">
        <v>0</v>
      </c>
      <c r="AC105" s="1"/>
      <c r="AD105" s="1">
        <v>0</v>
      </c>
      <c r="AF105" s="4">
        <v>0</v>
      </c>
      <c r="AH105" s="4">
        <f t="shared" si="4"/>
        <v>3885757</v>
      </c>
    </row>
    <row r="106" spans="1:66" s="4" customFormat="1">
      <c r="A106" s="4">
        <v>123</v>
      </c>
      <c r="B106" s="4" t="s">
        <v>135</v>
      </c>
      <c r="D106" s="4" t="s">
        <v>13</v>
      </c>
      <c r="F106" s="1">
        <v>117105</v>
      </c>
      <c r="G106" s="1"/>
      <c r="H106" s="1">
        <v>228038</v>
      </c>
      <c r="I106" s="1"/>
      <c r="J106" s="1">
        <v>0</v>
      </c>
      <c r="K106" s="1"/>
      <c r="L106" s="1">
        <v>5003</v>
      </c>
      <c r="M106" s="1"/>
      <c r="N106" s="1">
        <v>0</v>
      </c>
      <c r="O106" s="1"/>
      <c r="P106" s="1">
        <v>0</v>
      </c>
      <c r="Q106" s="1"/>
      <c r="R106" s="1">
        <v>1241</v>
      </c>
      <c r="S106" s="1"/>
      <c r="T106" s="1">
        <v>1486</v>
      </c>
      <c r="U106" s="1"/>
      <c r="V106" s="1">
        <v>26</v>
      </c>
      <c r="W106" s="1"/>
      <c r="X106" s="1">
        <v>0</v>
      </c>
      <c r="Y106" s="1"/>
      <c r="Z106" s="1">
        <v>0</v>
      </c>
      <c r="AA106" s="1"/>
      <c r="AB106" s="1">
        <v>0</v>
      </c>
      <c r="AC106" s="1"/>
      <c r="AD106" s="1">
        <v>0</v>
      </c>
      <c r="AF106" s="4">
        <v>0</v>
      </c>
      <c r="AH106" s="4">
        <f t="shared" si="4"/>
        <v>352899</v>
      </c>
    </row>
    <row r="107" spans="1:66" s="4" customFormat="1">
      <c r="A107" s="4">
        <v>93</v>
      </c>
      <c r="B107" s="4" t="s">
        <v>586</v>
      </c>
      <c r="D107" s="4" t="s">
        <v>137</v>
      </c>
      <c r="F107" s="6">
        <v>698884.14</v>
      </c>
      <c r="G107" s="6"/>
      <c r="H107" s="6">
        <v>1996005.83</v>
      </c>
      <c r="I107" s="6"/>
      <c r="J107" s="6">
        <v>4998.58</v>
      </c>
      <c r="K107" s="6"/>
      <c r="L107" s="6">
        <v>79166.740000000005</v>
      </c>
      <c r="M107" s="6"/>
      <c r="N107" s="6">
        <v>0</v>
      </c>
      <c r="O107" s="6"/>
      <c r="P107" s="6">
        <v>0</v>
      </c>
      <c r="Q107" s="6"/>
      <c r="R107" s="6">
        <v>10276.83</v>
      </c>
      <c r="S107" s="6"/>
      <c r="T107" s="6">
        <v>7142.96</v>
      </c>
      <c r="U107" s="6"/>
      <c r="V107" s="6">
        <v>111449.32</v>
      </c>
      <c r="W107" s="6"/>
      <c r="X107" s="6">
        <v>0</v>
      </c>
      <c r="Y107" s="6"/>
      <c r="Z107" s="6">
        <v>15000</v>
      </c>
      <c r="AA107" s="6"/>
      <c r="AB107" s="6">
        <v>0</v>
      </c>
      <c r="AC107" s="6"/>
      <c r="AD107" s="6">
        <v>0</v>
      </c>
      <c r="AE107" s="6"/>
      <c r="AF107" s="6">
        <v>0</v>
      </c>
      <c r="AG107" s="6"/>
      <c r="AH107" s="6">
        <f>SUM(F107:AF107)</f>
        <v>2922924.4000000004</v>
      </c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4" customFormat="1" hidden="1">
      <c r="A108" s="4">
        <v>93</v>
      </c>
      <c r="B108" s="4" t="s">
        <v>361</v>
      </c>
      <c r="D108" s="4" t="s">
        <v>51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H108" s="4">
        <f t="shared" si="4"/>
        <v>0</v>
      </c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4" customFormat="1">
      <c r="A109" s="4">
        <v>97</v>
      </c>
      <c r="B109" s="4" t="s">
        <v>138</v>
      </c>
      <c r="D109" s="4" t="s">
        <v>59</v>
      </c>
      <c r="F109" s="6">
        <v>66636.66</v>
      </c>
      <c r="G109" s="6"/>
      <c r="H109" s="6">
        <v>88898.77</v>
      </c>
      <c r="I109" s="6"/>
      <c r="J109" s="6">
        <v>3314.68</v>
      </c>
      <c r="K109" s="6"/>
      <c r="L109" s="6">
        <v>2858.11</v>
      </c>
      <c r="M109" s="6"/>
      <c r="N109" s="6">
        <v>0</v>
      </c>
      <c r="O109" s="6"/>
      <c r="P109" s="6">
        <v>0</v>
      </c>
      <c r="Q109" s="6"/>
      <c r="R109" s="6">
        <v>11052.62</v>
      </c>
      <c r="S109" s="6"/>
      <c r="T109" s="6">
        <v>39.56</v>
      </c>
      <c r="U109" s="6"/>
      <c r="V109" s="6">
        <v>1286.8399999999999</v>
      </c>
      <c r="W109" s="6"/>
      <c r="X109" s="6">
        <v>0</v>
      </c>
      <c r="Y109" s="6"/>
      <c r="Z109" s="6">
        <v>0</v>
      </c>
      <c r="AA109" s="6"/>
      <c r="AB109" s="6">
        <v>0</v>
      </c>
      <c r="AC109" s="6"/>
      <c r="AD109" s="6">
        <v>0</v>
      </c>
      <c r="AE109" s="6"/>
      <c r="AF109" s="6">
        <v>0</v>
      </c>
      <c r="AG109" s="6"/>
      <c r="AH109" s="6">
        <f>SUM(F109:AF109)</f>
        <v>174087.23999999996</v>
      </c>
    </row>
    <row r="110" spans="1:66" s="4" customFormat="1">
      <c r="A110" s="4">
        <v>159</v>
      </c>
      <c r="B110" s="4" t="s">
        <v>139</v>
      </c>
      <c r="D110" s="4" t="s">
        <v>48</v>
      </c>
      <c r="F110" s="1">
        <v>0</v>
      </c>
      <c r="G110" s="1"/>
      <c r="H110" s="1">
        <v>93258</v>
      </c>
      <c r="I110" s="1"/>
      <c r="J110" s="1">
        <v>0</v>
      </c>
      <c r="K110" s="1"/>
      <c r="L110" s="1">
        <v>3255</v>
      </c>
      <c r="M110" s="1"/>
      <c r="N110" s="1">
        <v>0</v>
      </c>
      <c r="O110" s="1"/>
      <c r="P110" s="1">
        <v>0</v>
      </c>
      <c r="Q110" s="1"/>
      <c r="R110" s="1">
        <v>11034</v>
      </c>
      <c r="S110" s="1"/>
      <c r="T110" s="1">
        <v>92</v>
      </c>
      <c r="U110" s="1"/>
      <c r="V110" s="1">
        <v>1500</v>
      </c>
      <c r="W110" s="1"/>
      <c r="X110" s="1">
        <v>0</v>
      </c>
      <c r="Y110" s="1"/>
      <c r="Z110" s="1">
        <v>0</v>
      </c>
      <c r="AA110" s="1"/>
      <c r="AB110" s="1">
        <v>0</v>
      </c>
      <c r="AC110" s="1"/>
      <c r="AD110" s="1">
        <v>0</v>
      </c>
      <c r="AF110" s="4">
        <v>0</v>
      </c>
      <c r="AH110" s="4">
        <f t="shared" si="4"/>
        <v>109139</v>
      </c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4" customFormat="1">
      <c r="A111" s="4">
        <v>240</v>
      </c>
      <c r="B111" s="4" t="s">
        <v>140</v>
      </c>
      <c r="D111" s="4" t="s">
        <v>52</v>
      </c>
      <c r="F111" s="6">
        <v>998124.62</v>
      </c>
      <c r="G111" s="6"/>
      <c r="H111" s="6">
        <v>1096581.44</v>
      </c>
      <c r="I111" s="6"/>
      <c r="J111" s="6">
        <v>137859.71</v>
      </c>
      <c r="K111" s="6"/>
      <c r="L111" s="6">
        <v>43036.46</v>
      </c>
      <c r="M111" s="6"/>
      <c r="N111" s="6">
        <v>0</v>
      </c>
      <c r="O111" s="6"/>
      <c r="P111" s="6">
        <v>0</v>
      </c>
      <c r="Q111" s="6"/>
      <c r="R111" s="6">
        <v>14787.02</v>
      </c>
      <c r="S111" s="6"/>
      <c r="T111" s="6">
        <v>1500.58</v>
      </c>
      <c r="U111" s="6"/>
      <c r="V111" s="6">
        <v>211.77</v>
      </c>
      <c r="W111" s="6"/>
      <c r="X111" s="6">
        <v>0</v>
      </c>
      <c r="Y111" s="6"/>
      <c r="Z111" s="6">
        <v>840305.59</v>
      </c>
      <c r="AA111" s="6"/>
      <c r="AB111" s="6">
        <v>0</v>
      </c>
      <c r="AC111" s="6"/>
      <c r="AD111" s="6">
        <v>0</v>
      </c>
      <c r="AE111" s="6"/>
      <c r="AF111" s="6">
        <v>0</v>
      </c>
      <c r="AG111" s="6"/>
      <c r="AH111" s="6">
        <f>SUM(F111:AF111)</f>
        <v>3132407.19</v>
      </c>
    </row>
    <row r="112" spans="1:66" s="4" customFormat="1">
      <c r="A112" s="4">
        <v>48</v>
      </c>
      <c r="B112" s="4" t="s">
        <v>141</v>
      </c>
      <c r="D112" s="4" t="s">
        <v>50</v>
      </c>
      <c r="F112" s="6">
        <v>0</v>
      </c>
      <c r="G112" s="6"/>
      <c r="H112" s="6">
        <v>506368.7</v>
      </c>
      <c r="I112" s="6"/>
      <c r="J112" s="6">
        <v>13499</v>
      </c>
      <c r="K112" s="6"/>
      <c r="L112" s="6">
        <v>23532.13</v>
      </c>
      <c r="M112" s="6"/>
      <c r="N112" s="6">
        <v>0</v>
      </c>
      <c r="O112" s="6"/>
      <c r="P112" s="6">
        <v>26</v>
      </c>
      <c r="Q112" s="6"/>
      <c r="R112" s="6">
        <v>8445.08</v>
      </c>
      <c r="S112" s="6"/>
      <c r="T112" s="6">
        <v>15802.1</v>
      </c>
      <c r="U112" s="6"/>
      <c r="V112" s="6">
        <v>8120.31</v>
      </c>
      <c r="W112" s="6"/>
      <c r="X112" s="6">
        <v>0</v>
      </c>
      <c r="Y112" s="6"/>
      <c r="Z112" s="6">
        <v>200000</v>
      </c>
      <c r="AA112" s="6"/>
      <c r="AB112" s="6">
        <v>0</v>
      </c>
      <c r="AC112" s="6"/>
      <c r="AD112" s="6">
        <v>0</v>
      </c>
      <c r="AE112" s="6"/>
      <c r="AF112" s="6">
        <v>0</v>
      </c>
      <c r="AG112" s="6"/>
      <c r="AH112" s="6">
        <f>SUM(F112:AF112)</f>
        <v>775793.32</v>
      </c>
    </row>
    <row r="113" spans="1:66" s="4" customFormat="1">
      <c r="A113" s="4">
        <v>190</v>
      </c>
      <c r="B113" s="4" t="s">
        <v>142</v>
      </c>
      <c r="D113" s="4" t="s">
        <v>143</v>
      </c>
      <c r="F113" s="1">
        <v>357115</v>
      </c>
      <c r="G113" s="1"/>
      <c r="H113" s="1">
        <v>778592</v>
      </c>
      <c r="I113" s="1"/>
      <c r="J113" s="1">
        <v>0</v>
      </c>
      <c r="K113" s="1"/>
      <c r="L113" s="1">
        <v>28581</v>
      </c>
      <c r="M113" s="1"/>
      <c r="N113" s="1">
        <v>0</v>
      </c>
      <c r="O113" s="1"/>
      <c r="P113" s="1">
        <v>0</v>
      </c>
      <c r="Q113" s="1"/>
      <c r="R113" s="1">
        <v>49296</v>
      </c>
      <c r="S113" s="1"/>
      <c r="T113" s="1">
        <v>1651</v>
      </c>
      <c r="U113" s="1"/>
      <c r="V113" s="1">
        <v>26959</v>
      </c>
      <c r="W113" s="1"/>
      <c r="X113" s="1">
        <v>0</v>
      </c>
      <c r="Y113" s="1"/>
      <c r="Z113" s="1">
        <v>0</v>
      </c>
      <c r="AA113" s="1"/>
      <c r="AB113" s="1">
        <v>0</v>
      </c>
      <c r="AC113" s="1"/>
      <c r="AD113" s="1">
        <v>0</v>
      </c>
      <c r="AF113" s="4">
        <v>0</v>
      </c>
      <c r="AH113" s="4">
        <f t="shared" si="4"/>
        <v>1242194</v>
      </c>
    </row>
    <row r="114" spans="1:66" s="4" customFormat="1">
      <c r="A114" s="4">
        <v>90</v>
      </c>
      <c r="B114" s="4" t="s">
        <v>144</v>
      </c>
      <c r="D114" s="4" t="s">
        <v>15</v>
      </c>
      <c r="F114" s="1">
        <v>5022593</v>
      </c>
      <c r="G114" s="1"/>
      <c r="H114" s="1">
        <v>2635063</v>
      </c>
      <c r="I114" s="1"/>
      <c r="J114" s="1">
        <v>825831</v>
      </c>
      <c r="K114" s="1"/>
      <c r="L114" s="1">
        <v>187005</v>
      </c>
      <c r="M114" s="1"/>
      <c r="N114" s="1">
        <v>0</v>
      </c>
      <c r="O114" s="1"/>
      <c r="P114" s="1">
        <v>0</v>
      </c>
      <c r="Q114" s="1"/>
      <c r="R114" s="1">
        <v>8160</v>
      </c>
      <c r="S114" s="1"/>
      <c r="T114" s="1">
        <v>28388</v>
      </c>
      <c r="U114" s="1"/>
      <c r="V114" s="1">
        <v>10039</v>
      </c>
      <c r="W114" s="1"/>
      <c r="X114" s="1">
        <v>0</v>
      </c>
      <c r="Y114" s="1"/>
      <c r="Z114" s="1">
        <v>1159500</v>
      </c>
      <c r="AA114" s="1"/>
      <c r="AB114" s="1">
        <v>27969</v>
      </c>
      <c r="AC114" s="1"/>
      <c r="AD114" s="1">
        <v>0</v>
      </c>
      <c r="AF114" s="4">
        <v>0</v>
      </c>
      <c r="AH114" s="4">
        <f t="shared" si="4"/>
        <v>9904548</v>
      </c>
    </row>
    <row r="115" spans="1:66" s="4" customFormat="1">
      <c r="A115" s="4">
        <v>170</v>
      </c>
      <c r="B115" s="4" t="s">
        <v>145</v>
      </c>
      <c r="D115" s="4" t="s">
        <v>53</v>
      </c>
      <c r="F115" s="6">
        <v>0</v>
      </c>
      <c r="G115" s="6"/>
      <c r="H115" s="6">
        <v>687571.09</v>
      </c>
      <c r="I115" s="6"/>
      <c r="J115" s="6">
        <v>0</v>
      </c>
      <c r="K115" s="6"/>
      <c r="L115" s="6">
        <v>14228.58</v>
      </c>
      <c r="M115" s="6"/>
      <c r="N115" s="6">
        <v>0</v>
      </c>
      <c r="O115" s="6"/>
      <c r="P115" s="6">
        <v>0</v>
      </c>
      <c r="Q115" s="6"/>
      <c r="R115" s="6">
        <v>1538.09</v>
      </c>
      <c r="S115" s="6"/>
      <c r="T115" s="6">
        <v>3061.9</v>
      </c>
      <c r="U115" s="6"/>
      <c r="V115" s="6">
        <v>1014.47</v>
      </c>
      <c r="W115" s="6"/>
      <c r="X115" s="6">
        <v>0</v>
      </c>
      <c r="Y115" s="6"/>
      <c r="Z115" s="6">
        <v>20000</v>
      </c>
      <c r="AA115" s="6"/>
      <c r="AB115" s="6">
        <v>0</v>
      </c>
      <c r="AC115" s="6"/>
      <c r="AD115" s="6">
        <v>0</v>
      </c>
      <c r="AE115" s="6"/>
      <c r="AF115" s="6">
        <v>0</v>
      </c>
      <c r="AG115" s="6"/>
      <c r="AH115" s="6">
        <f>SUM(F115:AF115)</f>
        <v>727414.12999999989</v>
      </c>
    </row>
    <row r="116" spans="1:66" s="4" customFormat="1">
      <c r="A116" s="4">
        <v>170</v>
      </c>
      <c r="B116" s="4" t="s">
        <v>625</v>
      </c>
      <c r="D116" s="4" t="s">
        <v>54</v>
      </c>
      <c r="F116" s="6">
        <v>211519.33</v>
      </c>
      <c r="G116" s="6"/>
      <c r="H116" s="6">
        <v>0</v>
      </c>
      <c r="I116" s="6"/>
      <c r="J116" s="6">
        <v>661704.69999999995</v>
      </c>
      <c r="K116" s="6"/>
      <c r="L116" s="6">
        <v>7645.81</v>
      </c>
      <c r="M116" s="6"/>
      <c r="N116" s="6">
        <v>0</v>
      </c>
      <c r="O116" s="6"/>
      <c r="P116" s="6">
        <v>0</v>
      </c>
      <c r="Q116" s="6"/>
      <c r="R116" s="6">
        <v>2305</v>
      </c>
      <c r="S116" s="6"/>
      <c r="T116" s="6">
        <v>13899.63</v>
      </c>
      <c r="U116" s="6"/>
      <c r="V116" s="6">
        <v>6633.96</v>
      </c>
      <c r="W116" s="6"/>
      <c r="X116" s="6">
        <v>0</v>
      </c>
      <c r="Y116" s="6"/>
      <c r="Z116" s="6">
        <v>0</v>
      </c>
      <c r="AA116" s="6"/>
      <c r="AB116" s="6">
        <v>0</v>
      </c>
      <c r="AC116" s="6"/>
      <c r="AD116" s="6">
        <v>0</v>
      </c>
      <c r="AE116" s="6"/>
      <c r="AF116" s="6">
        <v>0</v>
      </c>
      <c r="AG116" s="6"/>
      <c r="AH116" s="6">
        <f>SUM(F116:AF116)</f>
        <v>903708.42999999993</v>
      </c>
    </row>
    <row r="117" spans="1:66" s="4" customFormat="1">
      <c r="A117" s="4">
        <v>224</v>
      </c>
      <c r="B117" s="4" t="s">
        <v>611</v>
      </c>
      <c r="D117" s="4" t="s">
        <v>24</v>
      </c>
      <c r="F117" s="6">
        <v>0</v>
      </c>
      <c r="G117" s="6"/>
      <c r="H117" s="6">
        <v>105968.84</v>
      </c>
      <c r="I117" s="6"/>
      <c r="J117" s="6">
        <v>0</v>
      </c>
      <c r="K117" s="6"/>
      <c r="L117" s="6">
        <v>3906.75</v>
      </c>
      <c r="M117" s="6"/>
      <c r="N117" s="6">
        <v>0</v>
      </c>
      <c r="O117" s="6"/>
      <c r="P117" s="6">
        <v>0</v>
      </c>
      <c r="Q117" s="6"/>
      <c r="R117" s="6">
        <v>2482.21</v>
      </c>
      <c r="S117" s="6"/>
      <c r="T117" s="6">
        <v>99.97</v>
      </c>
      <c r="U117" s="6"/>
      <c r="V117" s="6">
        <v>0</v>
      </c>
      <c r="W117" s="6"/>
      <c r="X117" s="6">
        <v>0</v>
      </c>
      <c r="Y117" s="6"/>
      <c r="Z117" s="6">
        <v>0</v>
      </c>
      <c r="AA117" s="6"/>
      <c r="AB117" s="6">
        <v>0</v>
      </c>
      <c r="AC117" s="6"/>
      <c r="AD117" s="6">
        <v>0</v>
      </c>
      <c r="AE117" s="6"/>
      <c r="AF117" s="6">
        <v>0</v>
      </c>
      <c r="AG117" s="6"/>
      <c r="AH117" s="6">
        <f>SUM(F117:AF117)</f>
        <v>112457.77</v>
      </c>
    </row>
    <row r="118" spans="1:66" s="4" customFormat="1">
      <c r="A118" s="4">
        <v>143</v>
      </c>
      <c r="B118" s="4" t="s">
        <v>146</v>
      </c>
      <c r="D118" s="4" t="s">
        <v>55</v>
      </c>
      <c r="F118" s="73">
        <v>563320.78</v>
      </c>
      <c r="G118" s="73"/>
      <c r="H118" s="73">
        <v>537176.80000000005</v>
      </c>
      <c r="I118" s="73"/>
      <c r="J118" s="73">
        <v>18373.8</v>
      </c>
      <c r="K118" s="73"/>
      <c r="L118" s="73">
        <v>16901.12</v>
      </c>
      <c r="M118" s="73"/>
      <c r="N118" s="73">
        <v>0</v>
      </c>
      <c r="O118" s="73"/>
      <c r="P118" s="73">
        <v>0</v>
      </c>
      <c r="Q118" s="73"/>
      <c r="R118" s="73">
        <v>2153</v>
      </c>
      <c r="S118" s="73"/>
      <c r="T118" s="73">
        <v>2206.89</v>
      </c>
      <c r="U118" s="73"/>
      <c r="V118" s="73">
        <v>1199.69</v>
      </c>
      <c r="W118" s="73"/>
      <c r="X118" s="73">
        <v>0</v>
      </c>
      <c r="Y118" s="73"/>
      <c r="Z118" s="73">
        <v>150000</v>
      </c>
      <c r="AA118" s="73"/>
      <c r="AB118" s="73">
        <v>0</v>
      </c>
      <c r="AC118" s="73"/>
      <c r="AD118" s="73">
        <v>0</v>
      </c>
      <c r="AE118" s="73"/>
      <c r="AF118" s="73">
        <v>0</v>
      </c>
      <c r="AG118" s="73"/>
      <c r="AH118" s="73">
        <f>SUM(F118:AF118)</f>
        <v>1291332.08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4" customFormat="1">
      <c r="A119" s="4">
        <v>11</v>
      </c>
      <c r="B119" s="4" t="s">
        <v>302</v>
      </c>
      <c r="D119" s="4" t="s">
        <v>41</v>
      </c>
      <c r="F119" s="6">
        <v>0</v>
      </c>
      <c r="G119" s="6"/>
      <c r="H119" s="6">
        <v>140283.43</v>
      </c>
      <c r="I119" s="6"/>
      <c r="J119" s="6">
        <v>10404.620000000001</v>
      </c>
      <c r="K119" s="6"/>
      <c r="L119" s="6">
        <v>12101.84</v>
      </c>
      <c r="M119" s="6"/>
      <c r="N119" s="6">
        <v>0</v>
      </c>
      <c r="O119" s="6"/>
      <c r="P119" s="6">
        <v>0</v>
      </c>
      <c r="Q119" s="6"/>
      <c r="R119" s="6">
        <v>7801.23</v>
      </c>
      <c r="S119" s="6"/>
      <c r="T119" s="6">
        <v>5337.72</v>
      </c>
      <c r="U119" s="6"/>
      <c r="V119" s="6">
        <v>1422.62</v>
      </c>
      <c r="W119" s="6"/>
      <c r="X119" s="6">
        <v>0</v>
      </c>
      <c r="Y119" s="6"/>
      <c r="Z119" s="6">
        <v>0</v>
      </c>
      <c r="AA119" s="6"/>
      <c r="AB119" s="6">
        <v>0</v>
      </c>
      <c r="AC119" s="6"/>
      <c r="AD119" s="6">
        <v>0</v>
      </c>
      <c r="AE119" s="6"/>
      <c r="AF119" s="6">
        <v>0</v>
      </c>
      <c r="AG119" s="6"/>
      <c r="AH119" s="6">
        <f>SUM(F119:AF119)</f>
        <v>177351.46</v>
      </c>
    </row>
    <row r="120" spans="1:66" s="4" customFormat="1">
      <c r="A120" s="4">
        <v>77</v>
      </c>
      <c r="B120" s="4" t="s">
        <v>147</v>
      </c>
      <c r="D120" s="4" t="s">
        <v>90</v>
      </c>
      <c r="F120" s="1">
        <v>1081469</v>
      </c>
      <c r="G120" s="1"/>
      <c r="H120" s="1">
        <v>1364914</v>
      </c>
      <c r="I120" s="1"/>
      <c r="J120" s="1">
        <v>218643</v>
      </c>
      <c r="K120" s="1"/>
      <c r="L120" s="1">
        <v>95400</v>
      </c>
      <c r="M120" s="1"/>
      <c r="N120" s="1">
        <v>0</v>
      </c>
      <c r="O120" s="1"/>
      <c r="P120" s="1">
        <v>14226</v>
      </c>
      <c r="Q120" s="1"/>
      <c r="R120" s="1">
        <v>95475</v>
      </c>
      <c r="S120" s="1"/>
      <c r="T120" s="1">
        <v>1776</v>
      </c>
      <c r="U120" s="1"/>
      <c r="V120" s="1">
        <v>7017</v>
      </c>
      <c r="W120" s="1"/>
      <c r="X120" s="1">
        <v>0</v>
      </c>
      <c r="Y120" s="1"/>
      <c r="Z120" s="1">
        <v>301050</v>
      </c>
      <c r="AA120" s="1"/>
      <c r="AB120" s="1">
        <v>0</v>
      </c>
      <c r="AC120" s="1"/>
      <c r="AD120" s="1">
        <v>0</v>
      </c>
      <c r="AF120" s="4">
        <v>0</v>
      </c>
      <c r="AH120" s="4">
        <f t="shared" si="4"/>
        <v>3179970</v>
      </c>
    </row>
    <row r="121" spans="1:66" s="4" customFormat="1" hidden="1">
      <c r="A121" s="4">
        <v>132</v>
      </c>
      <c r="B121" s="4" t="s">
        <v>148</v>
      </c>
      <c r="D121" s="4" t="s">
        <v>39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H121" s="4">
        <f t="shared" si="4"/>
        <v>0</v>
      </c>
    </row>
    <row r="122" spans="1:66" s="4" customFormat="1">
      <c r="A122" s="4">
        <v>91</v>
      </c>
      <c r="B122" s="4" t="s">
        <v>587</v>
      </c>
      <c r="D122" s="4" t="s">
        <v>150</v>
      </c>
      <c r="F122" s="1">
        <v>2949333</v>
      </c>
      <c r="G122" s="1"/>
      <c r="H122" s="1">
        <v>4336937</v>
      </c>
      <c r="I122" s="1"/>
      <c r="J122" s="1">
        <f>487872+4211</f>
        <v>492083</v>
      </c>
      <c r="K122" s="1"/>
      <c r="L122" s="1">
        <v>188396</v>
      </c>
      <c r="M122" s="1"/>
      <c r="N122" s="1">
        <v>0</v>
      </c>
      <c r="O122" s="1"/>
      <c r="P122" s="1">
        <v>0</v>
      </c>
      <c r="Q122" s="1"/>
      <c r="R122" s="1">
        <v>3625</v>
      </c>
      <c r="S122" s="1"/>
      <c r="T122" s="1">
        <v>94197</v>
      </c>
      <c r="U122" s="1"/>
      <c r="V122" s="1">
        <v>103553</v>
      </c>
      <c r="W122" s="1"/>
      <c r="X122" s="1">
        <v>0</v>
      </c>
      <c r="Y122" s="1"/>
      <c r="Z122" s="1">
        <v>34960</v>
      </c>
      <c r="AA122" s="1"/>
      <c r="AB122" s="1">
        <v>0</v>
      </c>
      <c r="AC122" s="1"/>
      <c r="AD122" s="1">
        <v>0</v>
      </c>
      <c r="AF122" s="4">
        <v>0</v>
      </c>
      <c r="AH122" s="4">
        <f t="shared" si="4"/>
        <v>8203084</v>
      </c>
    </row>
    <row r="123" spans="1:66" s="4" customFormat="1">
      <c r="A123" s="4">
        <v>59</v>
      </c>
      <c r="B123" s="4" t="s">
        <v>151</v>
      </c>
      <c r="D123" s="4" t="s">
        <v>79</v>
      </c>
      <c r="F123" s="73">
        <v>0</v>
      </c>
      <c r="G123" s="73"/>
      <c r="H123" s="73">
        <v>714379.44</v>
      </c>
      <c r="I123" s="73"/>
      <c r="J123" s="73">
        <v>0</v>
      </c>
      <c r="K123" s="73"/>
      <c r="L123" s="73">
        <v>13575.59</v>
      </c>
      <c r="M123" s="73"/>
      <c r="N123" s="73">
        <v>0</v>
      </c>
      <c r="O123" s="73"/>
      <c r="P123" s="73">
        <v>0</v>
      </c>
      <c r="Q123" s="73"/>
      <c r="R123" s="73">
        <v>75000.039999999994</v>
      </c>
      <c r="S123" s="73"/>
      <c r="T123" s="73">
        <v>1039.48</v>
      </c>
      <c r="U123" s="73"/>
      <c r="V123" s="73">
        <v>6221.44</v>
      </c>
      <c r="W123" s="73"/>
      <c r="X123" s="73">
        <v>0</v>
      </c>
      <c r="Y123" s="73"/>
      <c r="Z123" s="73">
        <v>0</v>
      </c>
      <c r="AA123" s="73"/>
      <c r="AB123" s="73">
        <v>0</v>
      </c>
      <c r="AC123" s="73"/>
      <c r="AD123" s="73">
        <v>0</v>
      </c>
      <c r="AE123" s="73"/>
      <c r="AF123" s="73">
        <v>0</v>
      </c>
      <c r="AG123" s="73"/>
      <c r="AH123" s="73">
        <f>SUM(F123:AF123)</f>
        <v>810215.98999999987</v>
      </c>
    </row>
    <row r="124" spans="1:66" s="4" customFormat="1">
      <c r="A124" s="4">
        <v>92</v>
      </c>
      <c r="B124" s="4" t="s">
        <v>588</v>
      </c>
      <c r="D124" s="4" t="s">
        <v>152</v>
      </c>
      <c r="F124" s="1">
        <v>0</v>
      </c>
      <c r="G124" s="1"/>
      <c r="H124" s="1">
        <v>1187535</v>
      </c>
      <c r="I124" s="1"/>
      <c r="J124" s="1">
        <v>0</v>
      </c>
      <c r="K124" s="1"/>
      <c r="L124" s="1">
        <v>37929</v>
      </c>
      <c r="M124" s="1"/>
      <c r="N124" s="1">
        <v>0</v>
      </c>
      <c r="O124" s="1"/>
      <c r="P124" s="1">
        <v>0</v>
      </c>
      <c r="Q124" s="1"/>
      <c r="R124" s="1">
        <v>4602</v>
      </c>
      <c r="S124" s="1"/>
      <c r="T124" s="1">
        <v>19615</v>
      </c>
      <c r="U124" s="1"/>
      <c r="V124" s="1">
        <v>13176</v>
      </c>
      <c r="W124" s="1"/>
      <c r="X124" s="1">
        <v>0</v>
      </c>
      <c r="Y124" s="1"/>
      <c r="Z124" s="1">
        <v>111735</v>
      </c>
      <c r="AA124" s="1"/>
      <c r="AB124" s="1">
        <v>0</v>
      </c>
      <c r="AC124" s="1"/>
      <c r="AD124" s="1">
        <v>0</v>
      </c>
      <c r="AF124" s="4">
        <v>0</v>
      </c>
      <c r="AH124" s="4">
        <f t="shared" si="4"/>
        <v>1374592</v>
      </c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</row>
    <row r="125" spans="1:66" s="4" customFormat="1">
      <c r="A125" s="4">
        <v>12</v>
      </c>
      <c r="B125" s="4" t="s">
        <v>153</v>
      </c>
      <c r="D125" s="4" t="s">
        <v>41</v>
      </c>
      <c r="F125" s="6">
        <v>240239.76</v>
      </c>
      <c r="G125" s="6"/>
      <c r="H125" s="6">
        <v>326338.93</v>
      </c>
      <c r="I125" s="6"/>
      <c r="J125" s="6">
        <v>47879.43</v>
      </c>
      <c r="K125" s="6"/>
      <c r="L125" s="6">
        <v>10112.77</v>
      </c>
      <c r="M125" s="6"/>
      <c r="N125" s="6">
        <v>0</v>
      </c>
      <c r="O125" s="6"/>
      <c r="P125" s="6">
        <v>0</v>
      </c>
      <c r="Q125" s="6"/>
      <c r="R125" s="6">
        <v>3576.35</v>
      </c>
      <c r="S125" s="6"/>
      <c r="T125" s="6">
        <v>680.39</v>
      </c>
      <c r="U125" s="6"/>
      <c r="V125" s="6">
        <v>14623</v>
      </c>
      <c r="W125" s="6"/>
      <c r="X125" s="6">
        <v>0</v>
      </c>
      <c r="Y125" s="6"/>
      <c r="Z125" s="6">
        <v>152132.95000000001</v>
      </c>
      <c r="AA125" s="6"/>
      <c r="AB125" s="6">
        <v>0</v>
      </c>
      <c r="AC125" s="6"/>
      <c r="AD125" s="6">
        <v>0</v>
      </c>
      <c r="AE125" s="6"/>
      <c r="AF125" s="6">
        <v>0</v>
      </c>
      <c r="AG125" s="6"/>
      <c r="AH125" s="6">
        <f>SUM(F125:AF125)</f>
        <v>795583.58000000007</v>
      </c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4" customFormat="1">
      <c r="A126" s="4">
        <v>98</v>
      </c>
      <c r="B126" s="4" t="s">
        <v>154</v>
      </c>
      <c r="D126" s="4" t="s">
        <v>59</v>
      </c>
      <c r="F126" s="1">
        <v>0</v>
      </c>
      <c r="G126" s="1"/>
      <c r="H126" s="1">
        <v>64379</v>
      </c>
      <c r="I126" s="1"/>
      <c r="J126" s="1">
        <v>0</v>
      </c>
      <c r="K126" s="1"/>
      <c r="L126" s="1">
        <v>1648</v>
      </c>
      <c r="M126" s="1"/>
      <c r="N126" s="1">
        <v>0</v>
      </c>
      <c r="O126" s="1"/>
      <c r="P126" s="1">
        <v>0</v>
      </c>
      <c r="Q126" s="1"/>
      <c r="R126" s="1">
        <v>420</v>
      </c>
      <c r="S126" s="1"/>
      <c r="T126" s="1">
        <v>15</v>
      </c>
      <c r="U126" s="1"/>
      <c r="V126" s="1">
        <v>2175</v>
      </c>
      <c r="W126" s="1"/>
      <c r="X126" s="1">
        <v>0</v>
      </c>
      <c r="Y126" s="1"/>
      <c r="Z126" s="1">
        <v>0</v>
      </c>
      <c r="AA126" s="1"/>
      <c r="AB126" s="1">
        <v>0</v>
      </c>
      <c r="AC126" s="1"/>
      <c r="AD126" s="1">
        <v>0</v>
      </c>
      <c r="AF126" s="4">
        <v>0</v>
      </c>
      <c r="AH126" s="4">
        <f t="shared" si="4"/>
        <v>68637</v>
      </c>
    </row>
    <row r="127" spans="1:66" s="4" customFormat="1">
      <c r="A127" s="4">
        <v>181</v>
      </c>
      <c r="B127" s="4" t="s">
        <v>155</v>
      </c>
      <c r="D127" s="4" t="s">
        <v>156</v>
      </c>
      <c r="F127" s="1">
        <v>265347</v>
      </c>
      <c r="G127" s="1"/>
      <c r="H127" s="1">
        <v>374648</v>
      </c>
      <c r="I127" s="1"/>
      <c r="J127" s="1">
        <v>0</v>
      </c>
      <c r="K127" s="1"/>
      <c r="L127" s="1">
        <v>22928</v>
      </c>
      <c r="M127" s="1"/>
      <c r="N127" s="1">
        <v>0</v>
      </c>
      <c r="O127" s="1"/>
      <c r="P127" s="1">
        <v>0</v>
      </c>
      <c r="Q127" s="1"/>
      <c r="R127" s="1">
        <v>7116</v>
      </c>
      <c r="S127" s="1"/>
      <c r="T127" s="1">
        <v>1164</v>
      </c>
      <c r="U127" s="1"/>
      <c r="V127" s="1">
        <v>0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0</v>
      </c>
      <c r="AF127" s="4">
        <v>0</v>
      </c>
      <c r="AH127" s="4">
        <f t="shared" si="4"/>
        <v>671203</v>
      </c>
    </row>
    <row r="128" spans="1:66" s="4" customFormat="1">
      <c r="A128" s="4">
        <v>13</v>
      </c>
      <c r="B128" s="4" t="s">
        <v>303</v>
      </c>
      <c r="D128" s="4" t="s">
        <v>41</v>
      </c>
      <c r="F128" s="6">
        <v>0</v>
      </c>
      <c r="G128" s="6"/>
      <c r="H128" s="6">
        <v>260218.93</v>
      </c>
      <c r="I128" s="6"/>
      <c r="J128" s="6">
        <v>57803.47</v>
      </c>
      <c r="K128" s="6"/>
      <c r="L128" s="6">
        <v>15559.49</v>
      </c>
      <c r="M128" s="6"/>
      <c r="N128" s="6">
        <v>0</v>
      </c>
      <c r="O128" s="6"/>
      <c r="P128" s="6">
        <v>0</v>
      </c>
      <c r="Q128" s="6"/>
      <c r="R128" s="6">
        <v>46463.839999999997</v>
      </c>
      <c r="S128" s="6"/>
      <c r="T128" s="6">
        <v>284.54000000000002</v>
      </c>
      <c r="U128" s="6"/>
      <c r="V128" s="6">
        <v>1325.87</v>
      </c>
      <c r="W128" s="6"/>
      <c r="X128" s="6">
        <v>10187.85</v>
      </c>
      <c r="Y128" s="6"/>
      <c r="Z128" s="6">
        <v>0</v>
      </c>
      <c r="AA128" s="6"/>
      <c r="AB128" s="6">
        <v>7825</v>
      </c>
      <c r="AC128" s="6"/>
      <c r="AD128" s="6">
        <v>0</v>
      </c>
      <c r="AE128" s="6"/>
      <c r="AF128" s="6">
        <v>0</v>
      </c>
      <c r="AG128" s="6"/>
      <c r="AH128" s="6">
        <f>SUM(F128:AF128)</f>
        <v>399668.98999999993</v>
      </c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4" customFormat="1">
      <c r="A129" s="4">
        <v>239</v>
      </c>
      <c r="B129" s="4" t="s">
        <v>157</v>
      </c>
      <c r="D129" s="4" t="s">
        <v>158</v>
      </c>
      <c r="F129" s="1">
        <v>62155</v>
      </c>
      <c r="G129" s="1"/>
      <c r="H129" s="1">
        <v>351139</v>
      </c>
      <c r="I129" s="1"/>
      <c r="J129" s="1">
        <v>14770</v>
      </c>
      <c r="K129" s="1"/>
      <c r="L129" s="1">
        <v>8339</v>
      </c>
      <c r="M129" s="1"/>
      <c r="N129" s="1">
        <v>0</v>
      </c>
      <c r="O129" s="1"/>
      <c r="P129" s="1">
        <v>0</v>
      </c>
      <c r="Q129" s="1"/>
      <c r="R129" s="1">
        <v>33246</v>
      </c>
      <c r="S129" s="1"/>
      <c r="T129" s="1">
        <v>21328</v>
      </c>
      <c r="U129" s="1"/>
      <c r="V129" s="1">
        <v>983</v>
      </c>
      <c r="W129" s="1"/>
      <c r="X129" s="1">
        <v>0</v>
      </c>
      <c r="Y129" s="1"/>
      <c r="Z129" s="1">
        <v>0</v>
      </c>
      <c r="AA129" s="1"/>
      <c r="AB129" s="1">
        <v>0</v>
      </c>
      <c r="AC129" s="1"/>
      <c r="AD129" s="1">
        <v>0</v>
      </c>
      <c r="AF129" s="4">
        <v>0</v>
      </c>
      <c r="AH129" s="4">
        <f t="shared" si="4"/>
        <v>491960</v>
      </c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4" customFormat="1">
      <c r="A130" s="4">
        <v>144</v>
      </c>
      <c r="B130" s="4" t="s">
        <v>451</v>
      </c>
      <c r="D130" s="4" t="s">
        <v>55</v>
      </c>
      <c r="F130" s="6">
        <v>153159.17000000001</v>
      </c>
      <c r="G130" s="6"/>
      <c r="H130" s="6">
        <v>285021.5</v>
      </c>
      <c r="I130" s="6"/>
      <c r="J130" s="6">
        <v>28928.85</v>
      </c>
      <c r="K130" s="6"/>
      <c r="L130" s="6">
        <v>11052.19</v>
      </c>
      <c r="M130" s="6"/>
      <c r="N130" s="6">
        <v>0</v>
      </c>
      <c r="O130" s="6"/>
      <c r="P130" s="6">
        <v>0</v>
      </c>
      <c r="Q130" s="6"/>
      <c r="R130" s="6">
        <v>21263.360000000001</v>
      </c>
      <c r="S130" s="6"/>
      <c r="T130" s="6">
        <v>9039.2099999999991</v>
      </c>
      <c r="U130" s="6"/>
      <c r="V130" s="6">
        <v>337.02</v>
      </c>
      <c r="W130" s="6"/>
      <c r="X130" s="6">
        <v>0</v>
      </c>
      <c r="Y130" s="6"/>
      <c r="Z130" s="6">
        <v>5025</v>
      </c>
      <c r="AA130" s="6"/>
      <c r="AB130" s="6">
        <v>0</v>
      </c>
      <c r="AC130" s="6"/>
      <c r="AD130" s="6">
        <v>0</v>
      </c>
      <c r="AE130" s="6"/>
      <c r="AF130" s="6">
        <v>0</v>
      </c>
      <c r="AG130" s="6"/>
      <c r="AH130" s="6">
        <f>SUM(F130:AF130)</f>
        <v>513826.30000000005</v>
      </c>
    </row>
    <row r="131" spans="1:66" s="4" customFormat="1">
      <c r="A131" s="4">
        <v>107</v>
      </c>
      <c r="B131" s="4" t="s">
        <v>159</v>
      </c>
      <c r="D131" s="4" t="s">
        <v>56</v>
      </c>
      <c r="F131" s="6">
        <v>1140661.3400000001</v>
      </c>
      <c r="G131" s="6"/>
      <c r="H131" s="6">
        <v>0</v>
      </c>
      <c r="I131" s="6"/>
      <c r="J131" s="6">
        <v>1300</v>
      </c>
      <c r="K131" s="6"/>
      <c r="L131" s="6">
        <v>60164.13</v>
      </c>
      <c r="M131" s="6"/>
      <c r="N131" s="6">
        <v>0</v>
      </c>
      <c r="O131" s="6"/>
      <c r="P131" s="6">
        <v>0</v>
      </c>
      <c r="Q131" s="6"/>
      <c r="R131" s="6">
        <v>7799.82</v>
      </c>
      <c r="S131" s="6"/>
      <c r="T131" s="6">
        <v>39194.86</v>
      </c>
      <c r="U131" s="6"/>
      <c r="V131" s="6">
        <v>831.65</v>
      </c>
      <c r="W131" s="6"/>
      <c r="X131" s="6">
        <v>0</v>
      </c>
      <c r="Y131" s="6"/>
      <c r="Z131" s="6">
        <v>0</v>
      </c>
      <c r="AA131" s="6"/>
      <c r="AB131" s="6">
        <v>0</v>
      </c>
      <c r="AC131" s="6"/>
      <c r="AD131" s="6">
        <v>0</v>
      </c>
      <c r="AE131" s="6"/>
      <c r="AF131" s="6">
        <v>0</v>
      </c>
      <c r="AG131" s="6"/>
      <c r="AH131" s="6">
        <f>SUM(F131:AF131)</f>
        <v>1249951.8</v>
      </c>
    </row>
    <row r="132" spans="1:66" s="4" customFormat="1">
      <c r="A132" s="4">
        <v>103</v>
      </c>
      <c r="B132" s="4" t="s">
        <v>160</v>
      </c>
      <c r="D132" s="4" t="s">
        <v>58</v>
      </c>
      <c r="F132" s="1">
        <v>99113.74</v>
      </c>
      <c r="G132" s="1"/>
      <c r="H132" s="1">
        <v>0</v>
      </c>
      <c r="I132" s="1"/>
      <c r="J132" s="1">
        <v>0</v>
      </c>
      <c r="K132" s="1"/>
      <c r="L132" s="1">
        <v>152.44</v>
      </c>
      <c r="M132" s="1"/>
      <c r="N132" s="1">
        <v>0</v>
      </c>
      <c r="O132" s="1"/>
      <c r="P132" s="1">
        <v>0</v>
      </c>
      <c r="Q132" s="1"/>
      <c r="R132" s="1">
        <v>736</v>
      </c>
      <c r="S132" s="1"/>
      <c r="T132" s="1">
        <v>2343.9299999999998</v>
      </c>
      <c r="U132" s="1"/>
      <c r="V132" s="1">
        <v>448.33</v>
      </c>
      <c r="W132" s="1"/>
      <c r="X132" s="1">
        <v>0</v>
      </c>
      <c r="Y132" s="1"/>
      <c r="Z132" s="1">
        <v>0</v>
      </c>
      <c r="AA132" s="1"/>
      <c r="AB132" s="1">
        <v>0</v>
      </c>
      <c r="AC132" s="1"/>
      <c r="AD132" s="1">
        <v>0</v>
      </c>
      <c r="AF132" s="4">
        <v>0</v>
      </c>
      <c r="AH132" s="4">
        <f t="shared" si="4"/>
        <v>102794.44</v>
      </c>
    </row>
    <row r="133" spans="1:66" s="4" customFormat="1">
      <c r="A133" s="4">
        <v>109</v>
      </c>
      <c r="B133" s="4" t="s">
        <v>589</v>
      </c>
      <c r="D133" s="4" t="s">
        <v>161</v>
      </c>
      <c r="F133" s="6">
        <v>0</v>
      </c>
      <c r="G133" s="6"/>
      <c r="H133" s="6">
        <v>1041098.92</v>
      </c>
      <c r="I133" s="6"/>
      <c r="J133" s="6">
        <v>11189.44</v>
      </c>
      <c r="K133" s="6"/>
      <c r="L133" s="6">
        <v>34440.6</v>
      </c>
      <c r="M133" s="6"/>
      <c r="N133" s="6">
        <v>0</v>
      </c>
      <c r="O133" s="6"/>
      <c r="P133" s="6">
        <v>0</v>
      </c>
      <c r="Q133" s="6"/>
      <c r="R133" s="6">
        <v>71805.100000000006</v>
      </c>
      <c r="S133" s="6"/>
      <c r="T133" s="6">
        <v>3161.77</v>
      </c>
      <c r="U133" s="6"/>
      <c r="V133" s="6">
        <v>11609.6</v>
      </c>
      <c r="W133" s="6"/>
      <c r="X133" s="6">
        <v>0</v>
      </c>
      <c r="Y133" s="6"/>
      <c r="Z133" s="6">
        <v>25000</v>
      </c>
      <c r="AA133" s="6"/>
      <c r="AB133" s="6">
        <v>8782</v>
      </c>
      <c r="AC133" s="6"/>
      <c r="AD133" s="6">
        <v>0</v>
      </c>
      <c r="AE133" s="6"/>
      <c r="AF133" s="6">
        <v>0</v>
      </c>
      <c r="AG133" s="6"/>
      <c r="AH133" s="6">
        <f>SUM(F133:AF133)</f>
        <v>1207087.4300000004</v>
      </c>
    </row>
    <row r="134" spans="1:66" s="4" customFormat="1">
      <c r="A134" s="4">
        <v>133</v>
      </c>
      <c r="B134" s="4" t="s">
        <v>304</v>
      </c>
      <c r="D134" s="4" t="s">
        <v>39</v>
      </c>
      <c r="F134" s="6">
        <v>0</v>
      </c>
      <c r="G134" s="6"/>
      <c r="H134" s="6">
        <v>183548.71</v>
      </c>
      <c r="I134" s="6"/>
      <c r="J134" s="6">
        <v>15203</v>
      </c>
      <c r="K134" s="6"/>
      <c r="L134" s="6">
        <v>1572.55</v>
      </c>
      <c r="M134" s="6"/>
      <c r="N134" s="6">
        <v>0</v>
      </c>
      <c r="O134" s="6"/>
      <c r="P134" s="6">
        <v>0</v>
      </c>
      <c r="Q134" s="6"/>
      <c r="R134" s="6">
        <v>150</v>
      </c>
      <c r="S134" s="6"/>
      <c r="T134" s="6">
        <v>186.06</v>
      </c>
      <c r="U134" s="6"/>
      <c r="V134" s="6">
        <v>655.23</v>
      </c>
      <c r="W134" s="6"/>
      <c r="X134" s="6">
        <v>0</v>
      </c>
      <c r="Y134" s="6"/>
      <c r="Z134" s="6">
        <v>0</v>
      </c>
      <c r="AA134" s="6"/>
      <c r="AB134" s="6">
        <v>0</v>
      </c>
      <c r="AC134" s="6"/>
      <c r="AD134" s="6">
        <v>0</v>
      </c>
      <c r="AE134" s="6"/>
      <c r="AF134" s="6">
        <v>0</v>
      </c>
      <c r="AG134" s="6"/>
      <c r="AH134" s="6">
        <f>SUM(F134:AF134)</f>
        <v>201315.55</v>
      </c>
    </row>
    <row r="135" spans="1:66" s="4" customFormat="1">
      <c r="A135" s="4">
        <v>225</v>
      </c>
      <c r="B135" s="4" t="s">
        <v>452</v>
      </c>
      <c r="D135" s="4" t="s">
        <v>54</v>
      </c>
      <c r="F135" s="73">
        <v>336601.37</v>
      </c>
      <c r="G135" s="73"/>
      <c r="H135" s="73">
        <v>661731.69999999995</v>
      </c>
      <c r="I135" s="73"/>
      <c r="J135" s="73">
        <v>70155.429999999993</v>
      </c>
      <c r="K135" s="73"/>
      <c r="L135" s="73">
        <v>15177.67</v>
      </c>
      <c r="M135" s="73"/>
      <c r="N135" s="73">
        <v>0</v>
      </c>
      <c r="O135" s="73"/>
      <c r="P135" s="73">
        <v>7825</v>
      </c>
      <c r="Q135" s="73"/>
      <c r="R135" s="73">
        <v>6110.38</v>
      </c>
      <c r="S135" s="73"/>
      <c r="T135" s="73">
        <v>2564.11</v>
      </c>
      <c r="U135" s="73"/>
      <c r="V135" s="73">
        <v>1020.68</v>
      </c>
      <c r="W135" s="73"/>
      <c r="X135" s="73">
        <v>0</v>
      </c>
      <c r="Y135" s="73"/>
      <c r="Z135" s="73">
        <v>147248.10999999999</v>
      </c>
      <c r="AA135" s="73"/>
      <c r="AB135" s="73">
        <v>0</v>
      </c>
      <c r="AC135" s="73"/>
      <c r="AD135" s="73">
        <v>0</v>
      </c>
      <c r="AE135" s="73"/>
      <c r="AF135" s="73">
        <v>0</v>
      </c>
      <c r="AG135" s="73"/>
      <c r="AH135" s="73">
        <f>SUM(F135:AF135)</f>
        <v>1248434.4499999997</v>
      </c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4" customFormat="1" hidden="1">
      <c r="A136" s="4">
        <v>218</v>
      </c>
      <c r="B136" s="4" t="s">
        <v>163</v>
      </c>
      <c r="D136" s="4" t="s">
        <v>20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H136" s="4">
        <f t="shared" si="4"/>
        <v>0</v>
      </c>
    </row>
    <row r="137" spans="1:66" s="4" customFormat="1">
      <c r="A137" s="4">
        <v>66</v>
      </c>
      <c r="B137" s="4" t="s">
        <v>164</v>
      </c>
      <c r="D137" s="4" t="s">
        <v>165</v>
      </c>
      <c r="F137" s="6">
        <v>344762.6</v>
      </c>
      <c r="G137" s="6"/>
      <c r="H137" s="6">
        <v>313309.56</v>
      </c>
      <c r="I137" s="6"/>
      <c r="J137" s="6">
        <v>6101</v>
      </c>
      <c r="K137" s="6"/>
      <c r="L137" s="6">
        <v>24594.3</v>
      </c>
      <c r="M137" s="6"/>
      <c r="N137" s="6">
        <v>0</v>
      </c>
      <c r="O137" s="6"/>
      <c r="P137" s="6">
        <v>0</v>
      </c>
      <c r="Q137" s="6"/>
      <c r="R137" s="6">
        <v>7433.73</v>
      </c>
      <c r="S137" s="6"/>
      <c r="T137" s="6">
        <v>215.99</v>
      </c>
      <c r="U137" s="6"/>
      <c r="V137" s="6">
        <v>8844.9599999999991</v>
      </c>
      <c r="W137" s="6"/>
      <c r="X137" s="6">
        <v>0</v>
      </c>
      <c r="Y137" s="6"/>
      <c r="Z137" s="6">
        <v>0</v>
      </c>
      <c r="AA137" s="6"/>
      <c r="AB137" s="6">
        <v>4400</v>
      </c>
      <c r="AC137" s="6"/>
      <c r="AD137" s="6">
        <v>0</v>
      </c>
      <c r="AE137" s="6"/>
      <c r="AF137" s="6">
        <v>0</v>
      </c>
      <c r="AG137" s="6"/>
      <c r="AH137" s="6">
        <f>SUM(F137:AF137)</f>
        <v>709662.1399999999</v>
      </c>
    </row>
    <row r="138" spans="1:66" s="4" customFormat="1">
      <c r="A138" s="4">
        <v>148</v>
      </c>
      <c r="B138" s="4" t="s">
        <v>35</v>
      </c>
      <c r="D138" s="4" t="s">
        <v>10</v>
      </c>
      <c r="F138" s="6">
        <v>219456.54</v>
      </c>
      <c r="G138" s="6"/>
      <c r="H138" s="6">
        <v>303476.78999999998</v>
      </c>
      <c r="I138" s="6"/>
      <c r="J138" s="6">
        <v>29148.39</v>
      </c>
      <c r="K138" s="6"/>
      <c r="L138" s="6">
        <v>12073.89</v>
      </c>
      <c r="M138" s="6"/>
      <c r="N138" s="6">
        <v>0</v>
      </c>
      <c r="O138" s="6"/>
      <c r="P138" s="6">
        <v>0</v>
      </c>
      <c r="Q138" s="6"/>
      <c r="R138" s="6">
        <v>7333.06</v>
      </c>
      <c r="S138" s="6"/>
      <c r="T138" s="6">
        <v>434.24</v>
      </c>
      <c r="U138" s="6"/>
      <c r="V138" s="6">
        <v>2480.89</v>
      </c>
      <c r="W138" s="6"/>
      <c r="X138" s="6">
        <v>0</v>
      </c>
      <c r="Y138" s="6"/>
      <c r="Z138" s="6">
        <v>0</v>
      </c>
      <c r="AA138" s="6"/>
      <c r="AB138" s="6">
        <v>0</v>
      </c>
      <c r="AC138" s="6"/>
      <c r="AD138" s="6">
        <v>0</v>
      </c>
      <c r="AE138" s="6"/>
      <c r="AF138" s="6">
        <v>0</v>
      </c>
      <c r="AG138" s="6"/>
      <c r="AH138" s="6">
        <f>SUM(F138:AF138)</f>
        <v>574403.80000000005</v>
      </c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4" customFormat="1">
      <c r="A139" s="4">
        <v>182</v>
      </c>
      <c r="B139" s="4" t="s">
        <v>166</v>
      </c>
      <c r="D139" s="4" t="s">
        <v>156</v>
      </c>
      <c r="F139" s="1">
        <v>1175627</v>
      </c>
      <c r="G139" s="1"/>
      <c r="H139" s="1">
        <v>0</v>
      </c>
      <c r="I139" s="1"/>
      <c r="J139" s="1">
        <v>0</v>
      </c>
      <c r="K139" s="1"/>
      <c r="L139" s="1">
        <v>19712</v>
      </c>
      <c r="M139" s="1"/>
      <c r="N139" s="1">
        <v>0</v>
      </c>
      <c r="O139" s="1"/>
      <c r="P139" s="1">
        <v>0</v>
      </c>
      <c r="Q139" s="1"/>
      <c r="R139" s="1">
        <v>37772</v>
      </c>
      <c r="S139" s="1"/>
      <c r="T139" s="1">
        <v>418</v>
      </c>
      <c r="U139" s="1"/>
      <c r="V139" s="1">
        <v>1933</v>
      </c>
      <c r="W139" s="1"/>
      <c r="X139" s="1">
        <v>0</v>
      </c>
      <c r="Y139" s="1"/>
      <c r="Z139" s="1">
        <v>0</v>
      </c>
      <c r="AA139" s="1"/>
      <c r="AB139" s="1">
        <v>0</v>
      </c>
      <c r="AC139" s="1"/>
      <c r="AD139" s="1">
        <v>0</v>
      </c>
      <c r="AF139" s="4">
        <v>0</v>
      </c>
      <c r="AH139" s="4">
        <f t="shared" si="4"/>
        <v>1235462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1:66" s="4" customFormat="1">
      <c r="A140" s="4">
        <v>164</v>
      </c>
      <c r="B140" s="4" t="s">
        <v>335</v>
      </c>
      <c r="D140" s="4" t="s">
        <v>51</v>
      </c>
      <c r="F140" s="73">
        <v>0</v>
      </c>
      <c r="G140" s="73"/>
      <c r="H140" s="73">
        <v>221185.15</v>
      </c>
      <c r="I140" s="73"/>
      <c r="J140" s="73">
        <v>0</v>
      </c>
      <c r="K140" s="73"/>
      <c r="L140" s="73">
        <v>3998.92</v>
      </c>
      <c r="M140" s="73"/>
      <c r="N140" s="73">
        <v>0</v>
      </c>
      <c r="O140" s="73"/>
      <c r="P140" s="73">
        <v>0</v>
      </c>
      <c r="Q140" s="73"/>
      <c r="R140" s="73">
        <v>2912.21</v>
      </c>
      <c r="S140" s="73"/>
      <c r="T140" s="73">
        <v>13508.97</v>
      </c>
      <c r="U140" s="73"/>
      <c r="V140" s="73">
        <v>58.95</v>
      </c>
      <c r="W140" s="73"/>
      <c r="X140" s="73">
        <v>0</v>
      </c>
      <c r="Y140" s="73"/>
      <c r="Z140" s="73">
        <v>0</v>
      </c>
      <c r="AA140" s="73"/>
      <c r="AB140" s="73">
        <v>0</v>
      </c>
      <c r="AC140" s="73"/>
      <c r="AD140" s="73">
        <v>0</v>
      </c>
      <c r="AE140" s="73"/>
      <c r="AF140" s="73">
        <v>0</v>
      </c>
      <c r="AG140" s="78"/>
      <c r="AH140" s="78">
        <f>SUM(F140:AF140)</f>
        <v>241664.2</v>
      </c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1:66" s="4" customFormat="1">
      <c r="A141" s="4">
        <v>115</v>
      </c>
      <c r="B141" s="4" t="s">
        <v>167</v>
      </c>
      <c r="D141" s="4" t="s">
        <v>168</v>
      </c>
      <c r="F141" s="6">
        <v>0</v>
      </c>
      <c r="G141" s="6"/>
      <c r="H141" s="6">
        <v>393162.87</v>
      </c>
      <c r="I141" s="6"/>
      <c r="J141" s="6">
        <v>3900</v>
      </c>
      <c r="K141" s="6"/>
      <c r="L141" s="6">
        <v>15633.28</v>
      </c>
      <c r="M141" s="6"/>
      <c r="N141" s="6">
        <v>0</v>
      </c>
      <c r="O141" s="6"/>
      <c r="P141" s="6">
        <v>0</v>
      </c>
      <c r="Q141" s="6"/>
      <c r="R141" s="6">
        <v>9561.0300000000007</v>
      </c>
      <c r="S141" s="6"/>
      <c r="T141" s="6">
        <v>5882.03</v>
      </c>
      <c r="U141" s="6"/>
      <c r="V141" s="6">
        <v>6648.12</v>
      </c>
      <c r="W141" s="6"/>
      <c r="X141" s="6">
        <v>1981.55</v>
      </c>
      <c r="Y141" s="6"/>
      <c r="Z141" s="6">
        <v>0</v>
      </c>
      <c r="AA141" s="6"/>
      <c r="AB141" s="6">
        <v>0</v>
      </c>
      <c r="AC141" s="6"/>
      <c r="AD141" s="6">
        <v>0</v>
      </c>
      <c r="AE141" s="6"/>
      <c r="AF141" s="6">
        <v>0</v>
      </c>
      <c r="AG141" s="6"/>
      <c r="AH141" s="6">
        <f>SUM(F141:AF141)</f>
        <v>436768.88000000006</v>
      </c>
    </row>
    <row r="142" spans="1:66" s="4" customFormat="1">
      <c r="A142" s="4">
        <v>173</v>
      </c>
      <c r="B142" s="4" t="s">
        <v>334</v>
      </c>
      <c r="D142" s="4" t="s">
        <v>57</v>
      </c>
      <c r="F142" s="6">
        <v>242061.72</v>
      </c>
      <c r="G142" s="6"/>
      <c r="H142" s="6">
        <v>423257.9</v>
      </c>
      <c r="I142" s="6"/>
      <c r="J142" s="6">
        <v>47535.39</v>
      </c>
      <c r="K142" s="6"/>
      <c r="L142" s="6">
        <v>17261.72</v>
      </c>
      <c r="M142" s="6"/>
      <c r="N142" s="6">
        <v>0</v>
      </c>
      <c r="O142" s="6"/>
      <c r="P142" s="6">
        <v>0</v>
      </c>
      <c r="Q142" s="6"/>
      <c r="R142" s="6">
        <v>1555.69</v>
      </c>
      <c r="S142" s="6"/>
      <c r="T142" s="6">
        <v>20550.16</v>
      </c>
      <c r="U142" s="6"/>
      <c r="V142" s="6">
        <v>10133.75</v>
      </c>
      <c r="W142" s="6"/>
      <c r="X142" s="6">
        <v>0</v>
      </c>
      <c r="Y142" s="6"/>
      <c r="Z142" s="6">
        <v>0</v>
      </c>
      <c r="AA142" s="6"/>
      <c r="AB142" s="6">
        <v>0</v>
      </c>
      <c r="AC142" s="6"/>
      <c r="AD142" s="6">
        <v>0</v>
      </c>
      <c r="AE142" s="6"/>
      <c r="AF142" s="6">
        <v>0</v>
      </c>
      <c r="AG142" s="6"/>
      <c r="AH142" s="6">
        <f>SUM(F142:AF142)</f>
        <v>762356.33</v>
      </c>
    </row>
    <row r="143" spans="1:66" s="4" customFormat="1">
      <c r="A143" s="4">
        <v>205</v>
      </c>
      <c r="B143" s="4" t="s">
        <v>169</v>
      </c>
      <c r="D143" s="4" t="s">
        <v>43</v>
      </c>
      <c r="F143" s="1">
        <v>552333.93000000005</v>
      </c>
      <c r="G143" s="1"/>
      <c r="H143" s="1">
        <v>0</v>
      </c>
      <c r="I143" s="1"/>
      <c r="J143" s="1">
        <v>30000</v>
      </c>
      <c r="K143" s="1"/>
      <c r="L143" s="1">
        <v>8984.36</v>
      </c>
      <c r="M143" s="1"/>
      <c r="N143" s="1">
        <v>0</v>
      </c>
      <c r="O143" s="1"/>
      <c r="P143" s="1">
        <v>0</v>
      </c>
      <c r="Q143" s="1"/>
      <c r="R143" s="1">
        <v>12446.64</v>
      </c>
      <c r="S143" s="1"/>
      <c r="T143" s="1">
        <v>39999.58</v>
      </c>
      <c r="U143" s="1"/>
      <c r="V143" s="1">
        <v>22741.13</v>
      </c>
      <c r="W143" s="1"/>
      <c r="X143" s="1">
        <v>0</v>
      </c>
      <c r="Y143" s="1"/>
      <c r="Z143" s="1">
        <v>0</v>
      </c>
      <c r="AA143" s="1"/>
      <c r="AB143" s="1">
        <v>0</v>
      </c>
      <c r="AC143" s="1"/>
      <c r="AD143" s="1">
        <v>0</v>
      </c>
      <c r="AF143" s="4">
        <v>0</v>
      </c>
      <c r="AH143" s="4">
        <f t="shared" si="4"/>
        <v>666505.64</v>
      </c>
    </row>
    <row r="144" spans="1:66" s="4" customFormat="1">
      <c r="A144" s="4">
        <v>191</v>
      </c>
      <c r="B144" s="4" t="s">
        <v>170</v>
      </c>
      <c r="D144" s="4" t="s">
        <v>171</v>
      </c>
      <c r="F144" s="73">
        <v>0</v>
      </c>
      <c r="G144" s="73"/>
      <c r="H144" s="73">
        <v>1308945.58</v>
      </c>
      <c r="I144" s="73"/>
      <c r="J144" s="73">
        <v>3550</v>
      </c>
      <c r="K144" s="73"/>
      <c r="L144" s="73">
        <v>35770.050000000003</v>
      </c>
      <c r="M144" s="73"/>
      <c r="N144" s="73">
        <v>0</v>
      </c>
      <c r="O144" s="73"/>
      <c r="P144" s="73">
        <v>0</v>
      </c>
      <c r="Q144" s="73"/>
      <c r="R144" s="73">
        <v>67979.899999999994</v>
      </c>
      <c r="S144" s="73"/>
      <c r="T144" s="73">
        <v>4104.67</v>
      </c>
      <c r="U144" s="73"/>
      <c r="V144" s="73">
        <v>1874.1</v>
      </c>
      <c r="W144" s="73"/>
      <c r="X144" s="73">
        <v>0</v>
      </c>
      <c r="Y144" s="73"/>
      <c r="Z144" s="73">
        <v>0</v>
      </c>
      <c r="AA144" s="73"/>
      <c r="AB144" s="73">
        <v>0</v>
      </c>
      <c r="AC144" s="73"/>
      <c r="AD144" s="73">
        <v>0</v>
      </c>
      <c r="AE144" s="73"/>
      <c r="AF144" s="73">
        <v>0</v>
      </c>
      <c r="AG144" s="73"/>
      <c r="AH144" s="73">
        <f>SUM(F144:AF144)</f>
        <v>1422224.3</v>
      </c>
    </row>
    <row r="145" spans="1:66" s="4" customFormat="1">
      <c r="A145" s="4">
        <v>14</v>
      </c>
      <c r="B145" s="4" t="s">
        <v>172</v>
      </c>
      <c r="D145" s="4" t="s">
        <v>41</v>
      </c>
      <c r="F145" s="6">
        <v>110824.03</v>
      </c>
      <c r="G145" s="6"/>
      <c r="H145" s="6">
        <v>219014.62</v>
      </c>
      <c r="I145" s="6"/>
      <c r="J145" s="6">
        <v>18502.32</v>
      </c>
      <c r="K145" s="6"/>
      <c r="L145" s="6">
        <v>7092.78</v>
      </c>
      <c r="M145" s="6"/>
      <c r="N145" s="6">
        <v>0</v>
      </c>
      <c r="O145" s="6"/>
      <c r="P145" s="6">
        <v>0</v>
      </c>
      <c r="Q145" s="6"/>
      <c r="R145" s="6">
        <v>31484.959999999999</v>
      </c>
      <c r="S145" s="6"/>
      <c r="T145" s="6">
        <v>1361.89</v>
      </c>
      <c r="U145" s="6"/>
      <c r="V145" s="6">
        <v>4628.3999999999996</v>
      </c>
      <c r="W145" s="6"/>
      <c r="X145" s="6">
        <v>0</v>
      </c>
      <c r="Y145" s="6"/>
      <c r="Z145" s="6">
        <v>0</v>
      </c>
      <c r="AA145" s="6"/>
      <c r="AB145" s="6">
        <v>0</v>
      </c>
      <c r="AC145" s="6"/>
      <c r="AD145" s="6">
        <v>0</v>
      </c>
      <c r="AE145" s="6"/>
      <c r="AF145" s="6">
        <v>0</v>
      </c>
      <c r="AG145" s="6"/>
      <c r="AH145" s="6">
        <f>SUM(F145:AF145)</f>
        <v>392909.00000000012</v>
      </c>
    </row>
    <row r="146" spans="1:66" s="4" customFormat="1">
      <c r="A146" s="4">
        <v>226</v>
      </c>
      <c r="B146" s="4" t="s">
        <v>173</v>
      </c>
      <c r="D146" s="4" t="s">
        <v>54</v>
      </c>
      <c r="F146" s="6">
        <v>0</v>
      </c>
      <c r="G146" s="6"/>
      <c r="H146" s="6">
        <v>419383.19</v>
      </c>
      <c r="I146" s="6"/>
      <c r="J146" s="6">
        <v>0</v>
      </c>
      <c r="K146" s="6"/>
      <c r="L146" s="6">
        <v>18287.22</v>
      </c>
      <c r="M146" s="6"/>
      <c r="N146" s="6">
        <v>0</v>
      </c>
      <c r="O146" s="6"/>
      <c r="P146" s="6">
        <v>0</v>
      </c>
      <c r="Q146" s="6"/>
      <c r="R146" s="6">
        <v>1358.95</v>
      </c>
      <c r="S146" s="6"/>
      <c r="T146" s="6">
        <v>4280.18</v>
      </c>
      <c r="U146" s="6"/>
      <c r="V146" s="6">
        <v>0</v>
      </c>
      <c r="W146" s="6"/>
      <c r="X146" s="6">
        <v>0</v>
      </c>
      <c r="Y146" s="6"/>
      <c r="Z146" s="6">
        <v>0</v>
      </c>
      <c r="AA146" s="6"/>
      <c r="AB146" s="6">
        <v>0</v>
      </c>
      <c r="AC146" s="6"/>
      <c r="AD146" s="6">
        <v>0</v>
      </c>
      <c r="AE146" s="6"/>
      <c r="AF146" s="6">
        <v>0</v>
      </c>
      <c r="AG146" s="6"/>
      <c r="AH146" s="6">
        <f>SUM(F146:AF146)</f>
        <v>443309.54000000004</v>
      </c>
    </row>
    <row r="147" spans="1:66" s="4" customFormat="1">
      <c r="A147" s="4">
        <v>124</v>
      </c>
      <c r="B147" s="4" t="s">
        <v>174</v>
      </c>
      <c r="D147" s="4" t="s">
        <v>13</v>
      </c>
      <c r="F147" s="6">
        <v>293175.64</v>
      </c>
      <c r="G147" s="6"/>
      <c r="H147" s="6">
        <v>432791.09</v>
      </c>
      <c r="I147" s="6"/>
      <c r="J147" s="6">
        <v>41956.41</v>
      </c>
      <c r="K147" s="6"/>
      <c r="L147" s="6">
        <v>16133.79</v>
      </c>
      <c r="M147" s="6"/>
      <c r="N147" s="6">
        <v>0</v>
      </c>
      <c r="O147" s="6"/>
      <c r="P147" s="6">
        <v>0</v>
      </c>
      <c r="Q147" s="6"/>
      <c r="R147" s="6">
        <v>27017.88</v>
      </c>
      <c r="S147" s="6"/>
      <c r="T147" s="6">
        <v>18307.53</v>
      </c>
      <c r="U147" s="6"/>
      <c r="V147" s="6">
        <v>8265.85</v>
      </c>
      <c r="W147" s="6"/>
      <c r="X147" s="6">
        <v>0</v>
      </c>
      <c r="Y147" s="6"/>
      <c r="Z147" s="6">
        <v>60000</v>
      </c>
      <c r="AA147" s="6"/>
      <c r="AB147" s="6">
        <v>0</v>
      </c>
      <c r="AC147" s="6"/>
      <c r="AD147" s="6">
        <v>0</v>
      </c>
      <c r="AE147" s="6"/>
      <c r="AF147" s="6">
        <v>0</v>
      </c>
      <c r="AG147" s="6"/>
      <c r="AH147" s="6">
        <f>SUM(F147:AF147)</f>
        <v>897648.19000000006</v>
      </c>
    </row>
    <row r="148" spans="1:66" s="4" customFormat="1">
      <c r="A148" s="4">
        <v>54</v>
      </c>
      <c r="B148" s="15" t="s">
        <v>431</v>
      </c>
      <c r="C148" s="15"/>
      <c r="D148" s="15" t="s">
        <v>17</v>
      </c>
      <c r="E148" s="15"/>
      <c r="F148" s="1">
        <v>1929061</v>
      </c>
      <c r="G148" s="1"/>
      <c r="H148" s="1">
        <v>0</v>
      </c>
      <c r="I148" s="1"/>
      <c r="J148" s="1">
        <v>2146017</v>
      </c>
      <c r="K148" s="1"/>
      <c r="L148" s="1">
        <v>135339</v>
      </c>
      <c r="M148" s="1"/>
      <c r="N148" s="1">
        <v>0</v>
      </c>
      <c r="O148" s="1"/>
      <c r="P148" s="1">
        <v>0</v>
      </c>
      <c r="Q148" s="1"/>
      <c r="R148" s="1">
        <v>176306</v>
      </c>
      <c r="S148" s="1"/>
      <c r="T148" s="1">
        <v>16121</v>
      </c>
      <c r="U148" s="1"/>
      <c r="V148" s="1">
        <v>7632</v>
      </c>
      <c r="W148" s="1"/>
      <c r="X148" s="1">
        <v>0</v>
      </c>
      <c r="Y148" s="1"/>
      <c r="Z148" s="1">
        <v>171971</v>
      </c>
      <c r="AA148" s="1"/>
      <c r="AB148" s="1">
        <v>0</v>
      </c>
      <c r="AC148" s="1"/>
      <c r="AD148" s="1">
        <v>0</v>
      </c>
      <c r="AE148" s="15"/>
      <c r="AF148" s="15">
        <v>0</v>
      </c>
      <c r="AG148" s="15"/>
      <c r="AH148" s="4">
        <f t="shared" si="4"/>
        <v>4582447</v>
      </c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</row>
    <row r="149" spans="1:66" s="4" customFormat="1">
      <c r="A149" s="4">
        <v>25</v>
      </c>
      <c r="B149" s="4" t="s">
        <v>7</v>
      </c>
      <c r="D149" s="4" t="s">
        <v>8</v>
      </c>
      <c r="F149" s="1">
        <v>2617471</v>
      </c>
      <c r="G149" s="1"/>
      <c r="H149" s="1">
        <v>0</v>
      </c>
      <c r="I149" s="1"/>
      <c r="J149" s="1">
        <v>4866313</v>
      </c>
      <c r="K149" s="1"/>
      <c r="L149" s="1">
        <v>209074</v>
      </c>
      <c r="M149" s="1"/>
      <c r="N149" s="1">
        <v>0</v>
      </c>
      <c r="O149" s="1"/>
      <c r="P149" s="1">
        <v>0</v>
      </c>
      <c r="Q149" s="1"/>
      <c r="R149" s="1">
        <v>866644</v>
      </c>
      <c r="S149" s="1"/>
      <c r="T149" s="1">
        <v>261150</v>
      </c>
      <c r="U149" s="1"/>
      <c r="V149" s="1">
        <v>14272</v>
      </c>
      <c r="W149" s="1"/>
      <c r="X149" s="1">
        <v>0</v>
      </c>
      <c r="Y149" s="1"/>
      <c r="Z149" s="1">
        <v>2200000</v>
      </c>
      <c r="AA149" s="1"/>
      <c r="AB149" s="1">
        <v>0</v>
      </c>
      <c r="AC149" s="1"/>
      <c r="AD149" s="1">
        <v>0</v>
      </c>
      <c r="AF149" s="4">
        <v>0</v>
      </c>
      <c r="AH149" s="4">
        <f t="shared" si="4"/>
        <v>11034924</v>
      </c>
    </row>
    <row r="150" spans="1:66" s="4" customFormat="1">
      <c r="A150" s="4">
        <v>241</v>
      </c>
      <c r="B150" s="4" t="s">
        <v>175</v>
      </c>
      <c r="D150" s="4" t="s">
        <v>52</v>
      </c>
      <c r="F150" s="6">
        <v>745748.16</v>
      </c>
      <c r="G150" s="6"/>
      <c r="H150" s="6">
        <v>744079.79</v>
      </c>
      <c r="I150" s="6"/>
      <c r="J150" s="6">
        <v>93762.09</v>
      </c>
      <c r="K150" s="6"/>
      <c r="L150" s="6">
        <v>34843.599999999999</v>
      </c>
      <c r="M150" s="6"/>
      <c r="N150" s="6">
        <v>0</v>
      </c>
      <c r="O150" s="6"/>
      <c r="P150" s="6">
        <v>0</v>
      </c>
      <c r="Q150" s="6"/>
      <c r="R150" s="6">
        <v>1730.23</v>
      </c>
      <c r="S150" s="6"/>
      <c r="T150" s="6">
        <v>62131.67</v>
      </c>
      <c r="U150" s="6"/>
      <c r="V150" s="6">
        <v>1570</v>
      </c>
      <c r="W150" s="6"/>
      <c r="X150" s="6">
        <v>3012.4</v>
      </c>
      <c r="Y150" s="6"/>
      <c r="Z150" s="6">
        <v>0</v>
      </c>
      <c r="AA150" s="6"/>
      <c r="AB150" s="6">
        <v>0</v>
      </c>
      <c r="AC150" s="6"/>
      <c r="AD150" s="6">
        <v>0</v>
      </c>
      <c r="AE150" s="6"/>
      <c r="AF150" s="6">
        <v>0</v>
      </c>
      <c r="AG150" s="6"/>
      <c r="AH150" s="6">
        <f>SUM(F150:AF150)</f>
        <v>1686877.9400000002</v>
      </c>
    </row>
    <row r="151" spans="1:66" s="4" customFormat="1">
      <c r="A151" s="4">
        <v>41</v>
      </c>
      <c r="B151" s="4" t="s">
        <v>305</v>
      </c>
      <c r="D151" s="4" t="s">
        <v>49</v>
      </c>
      <c r="F151" s="6">
        <v>0</v>
      </c>
      <c r="G151" s="6"/>
      <c r="H151" s="6">
        <v>271420.12</v>
      </c>
      <c r="I151" s="6"/>
      <c r="J151" s="6">
        <v>0</v>
      </c>
      <c r="K151" s="6"/>
      <c r="L151" s="6">
        <v>7258.81</v>
      </c>
      <c r="M151" s="6"/>
      <c r="N151" s="6">
        <v>0</v>
      </c>
      <c r="O151" s="6"/>
      <c r="P151" s="6">
        <v>0</v>
      </c>
      <c r="Q151" s="6"/>
      <c r="R151" s="6">
        <v>10200.4</v>
      </c>
      <c r="S151" s="6"/>
      <c r="T151" s="6">
        <v>1062.1600000000001</v>
      </c>
      <c r="U151" s="6"/>
      <c r="V151" s="6">
        <v>283.45</v>
      </c>
      <c r="W151" s="6"/>
      <c r="X151" s="6">
        <v>30756.77</v>
      </c>
      <c r="Y151" s="6"/>
      <c r="Z151" s="6">
        <v>5268</v>
      </c>
      <c r="AA151" s="6"/>
      <c r="AB151" s="6">
        <v>0</v>
      </c>
      <c r="AC151" s="6"/>
      <c r="AD151" s="6">
        <v>0</v>
      </c>
      <c r="AE151" s="6"/>
      <c r="AF151" s="6">
        <v>0</v>
      </c>
      <c r="AG151" s="6"/>
      <c r="AH151" s="6">
        <f>SUM(F151:AF151)</f>
        <v>326249.71000000002</v>
      </c>
    </row>
    <row r="152" spans="1:66" s="4" customFormat="1">
      <c r="A152" s="4">
        <v>42</v>
      </c>
      <c r="B152" s="4" t="s">
        <v>176</v>
      </c>
      <c r="D152" s="4" t="s">
        <v>49</v>
      </c>
      <c r="F152" s="6">
        <v>0</v>
      </c>
      <c r="G152" s="6"/>
      <c r="H152" s="6">
        <v>420923.81</v>
      </c>
      <c r="I152" s="6"/>
      <c r="J152" s="6">
        <v>91899.87</v>
      </c>
      <c r="K152" s="6"/>
      <c r="L152" s="6">
        <v>9618.14</v>
      </c>
      <c r="M152" s="6"/>
      <c r="N152" s="6">
        <v>0</v>
      </c>
      <c r="O152" s="6"/>
      <c r="P152" s="6">
        <v>0</v>
      </c>
      <c r="Q152" s="6"/>
      <c r="R152" s="6">
        <v>9658.31</v>
      </c>
      <c r="S152" s="6"/>
      <c r="T152" s="6">
        <v>196.33</v>
      </c>
      <c r="U152" s="6"/>
      <c r="V152" s="6">
        <v>10584.91</v>
      </c>
      <c r="W152" s="6"/>
      <c r="X152" s="6">
        <v>1330.97</v>
      </c>
      <c r="Y152" s="6"/>
      <c r="Z152" s="6">
        <v>55841.46</v>
      </c>
      <c r="AA152" s="6"/>
      <c r="AB152" s="6">
        <v>0</v>
      </c>
      <c r="AC152" s="6"/>
      <c r="AD152" s="6">
        <v>0</v>
      </c>
      <c r="AE152" s="6"/>
      <c r="AF152" s="6">
        <v>0</v>
      </c>
      <c r="AG152" s="6"/>
      <c r="AH152" s="6">
        <f>SUM(F152:AF152)</f>
        <v>600053.79999999993</v>
      </c>
    </row>
    <row r="153" spans="1:66" s="4" customFormat="1">
      <c r="A153" s="4">
        <v>104</v>
      </c>
      <c r="B153" s="4" t="s">
        <v>177</v>
      </c>
      <c r="D153" s="4" t="s">
        <v>58</v>
      </c>
      <c r="F153" s="6">
        <v>143299.74</v>
      </c>
      <c r="G153" s="6"/>
      <c r="H153" s="6">
        <v>138759.22</v>
      </c>
      <c r="I153" s="6"/>
      <c r="J153" s="6">
        <v>10228.48</v>
      </c>
      <c r="K153" s="6"/>
      <c r="L153" s="6">
        <v>7085.34</v>
      </c>
      <c r="M153" s="6"/>
      <c r="N153" s="6">
        <v>0</v>
      </c>
      <c r="O153" s="6"/>
      <c r="P153" s="6">
        <v>0</v>
      </c>
      <c r="Q153" s="6"/>
      <c r="R153" s="6">
        <v>5278.54</v>
      </c>
      <c r="S153" s="6"/>
      <c r="T153" s="6">
        <v>35.57</v>
      </c>
      <c r="U153" s="6"/>
      <c r="V153" s="6">
        <v>708.43</v>
      </c>
      <c r="W153" s="6"/>
      <c r="X153" s="6">
        <v>0</v>
      </c>
      <c r="Y153" s="6"/>
      <c r="Z153" s="6">
        <v>0</v>
      </c>
      <c r="AA153" s="6"/>
      <c r="AB153" s="6">
        <v>0</v>
      </c>
      <c r="AC153" s="6"/>
      <c r="AD153" s="6">
        <v>500.26</v>
      </c>
      <c r="AE153" s="6"/>
      <c r="AF153" s="6">
        <v>0</v>
      </c>
      <c r="AG153" s="6"/>
      <c r="AH153" s="6">
        <f>SUM(F153:AF153)</f>
        <v>305895.57999999996</v>
      </c>
    </row>
    <row r="154" spans="1:66" s="4" customFormat="1">
      <c r="A154" s="4">
        <v>134</v>
      </c>
      <c r="B154" s="4" t="s">
        <v>561</v>
      </c>
      <c r="D154" s="4" t="s">
        <v>39</v>
      </c>
      <c r="F154" s="1">
        <v>2276941</v>
      </c>
      <c r="G154" s="1"/>
      <c r="H154" s="1">
        <v>2528893</v>
      </c>
      <c r="I154" s="1"/>
      <c r="J154" s="1">
        <v>9061</v>
      </c>
      <c r="K154" s="1"/>
      <c r="L154" s="1">
        <v>93924</v>
      </c>
      <c r="M154" s="1"/>
      <c r="N154" s="1">
        <v>0</v>
      </c>
      <c r="O154" s="1"/>
      <c r="P154" s="1">
        <v>696</v>
      </c>
      <c r="Q154" s="1"/>
      <c r="R154" s="1">
        <v>2450</v>
      </c>
      <c r="S154" s="1"/>
      <c r="T154" s="1">
        <v>2268</v>
      </c>
      <c r="U154" s="1"/>
      <c r="V154" s="1">
        <v>47182</v>
      </c>
      <c r="W154" s="1"/>
      <c r="X154" s="1">
        <v>0</v>
      </c>
      <c r="Y154" s="1"/>
      <c r="Z154" s="1">
        <v>502530</v>
      </c>
      <c r="AA154" s="1"/>
      <c r="AB154" s="1">
        <v>11136</v>
      </c>
      <c r="AC154" s="1"/>
      <c r="AD154" s="1">
        <v>0</v>
      </c>
      <c r="AF154" s="4">
        <v>0</v>
      </c>
      <c r="AH154" s="4">
        <f t="shared" si="4"/>
        <v>5475081</v>
      </c>
    </row>
    <row r="155" spans="1:66" s="4" customFormat="1">
      <c r="A155" s="4">
        <v>5</v>
      </c>
      <c r="B155" s="4" t="s">
        <v>178</v>
      </c>
      <c r="D155" s="4" t="s">
        <v>95</v>
      </c>
      <c r="F155" s="1">
        <v>0</v>
      </c>
      <c r="G155" s="1"/>
      <c r="H155" s="1">
        <v>2924645</v>
      </c>
      <c r="I155" s="1"/>
      <c r="J155" s="1">
        <v>0</v>
      </c>
      <c r="K155" s="1"/>
      <c r="L155" s="1">
        <v>57127</v>
      </c>
      <c r="M155" s="1"/>
      <c r="N155" s="1">
        <v>0</v>
      </c>
      <c r="O155" s="1"/>
      <c r="P155" s="1">
        <v>5794</v>
      </c>
      <c r="Q155" s="1"/>
      <c r="R155" s="1">
        <v>282053</v>
      </c>
      <c r="S155" s="1"/>
      <c r="T155" s="1">
        <v>10443</v>
      </c>
      <c r="U155" s="1"/>
      <c r="V155" s="1">
        <f>13847+1100000</f>
        <v>1113847</v>
      </c>
      <c r="W155" s="1"/>
      <c r="X155" s="1">
        <v>0</v>
      </c>
      <c r="Y155" s="1"/>
      <c r="Z155" s="1">
        <v>1100000</v>
      </c>
      <c r="AA155" s="1"/>
      <c r="AB155" s="1">
        <v>0</v>
      </c>
      <c r="AC155" s="1"/>
      <c r="AD155" s="1">
        <v>0</v>
      </c>
      <c r="AF155" s="4">
        <v>0</v>
      </c>
      <c r="AH155" s="4">
        <f t="shared" si="4"/>
        <v>5493909</v>
      </c>
    </row>
    <row r="156" spans="1:66" s="4" customFormat="1">
      <c r="A156" s="4">
        <v>139</v>
      </c>
      <c r="B156" s="4" t="s">
        <v>562</v>
      </c>
      <c r="D156" s="4" t="s">
        <v>85</v>
      </c>
      <c r="F156" s="1">
        <v>0</v>
      </c>
      <c r="G156" s="1"/>
      <c r="H156" s="1">
        <v>1194198</v>
      </c>
      <c r="I156" s="1"/>
      <c r="J156" s="1">
        <v>19909</v>
      </c>
      <c r="K156" s="1"/>
      <c r="L156" s="1">
        <v>17942</v>
      </c>
      <c r="M156" s="1"/>
      <c r="N156" s="1">
        <v>0</v>
      </c>
      <c r="O156" s="1"/>
      <c r="P156" s="1">
        <v>0</v>
      </c>
      <c r="Q156" s="1"/>
      <c r="R156" s="1">
        <v>21596</v>
      </c>
      <c r="S156" s="1"/>
      <c r="T156" s="1">
        <v>6054</v>
      </c>
      <c r="U156" s="1"/>
      <c r="V156" s="1">
        <v>19412</v>
      </c>
      <c r="W156" s="1"/>
      <c r="X156" s="1">
        <v>0</v>
      </c>
      <c r="Y156" s="1"/>
      <c r="Z156" s="1">
        <v>0</v>
      </c>
      <c r="AA156" s="1"/>
      <c r="AB156" s="1">
        <v>0</v>
      </c>
      <c r="AC156" s="1"/>
      <c r="AD156" s="1">
        <v>0</v>
      </c>
      <c r="AF156" s="4">
        <v>0</v>
      </c>
      <c r="AH156" s="4">
        <f t="shared" si="4"/>
        <v>1279111</v>
      </c>
    </row>
    <row r="157" spans="1:66" s="4" customFormat="1">
      <c r="A157" s="4">
        <v>108</v>
      </c>
      <c r="B157" s="4" t="s">
        <v>563</v>
      </c>
      <c r="D157" s="4" t="s">
        <v>179</v>
      </c>
      <c r="F157" s="1">
        <v>0</v>
      </c>
      <c r="G157" s="1"/>
      <c r="H157" s="1">
        <v>806843</v>
      </c>
      <c r="I157" s="1"/>
      <c r="J157" s="1">
        <v>0</v>
      </c>
      <c r="K157" s="1"/>
      <c r="L157" s="1">
        <v>38531</v>
      </c>
      <c r="M157" s="1"/>
      <c r="N157" s="1">
        <v>0</v>
      </c>
      <c r="O157" s="1"/>
      <c r="P157" s="1">
        <v>0</v>
      </c>
      <c r="Q157" s="1"/>
      <c r="R157" s="1">
        <v>1000</v>
      </c>
      <c r="S157" s="1"/>
      <c r="T157" s="1">
        <v>11479</v>
      </c>
      <c r="U157" s="1"/>
      <c r="V157" s="1">
        <v>22280</v>
      </c>
      <c r="W157" s="1"/>
      <c r="X157" s="1">
        <v>0</v>
      </c>
      <c r="Y157" s="1"/>
      <c r="Z157" s="1">
        <v>0</v>
      </c>
      <c r="AA157" s="1"/>
      <c r="AB157" s="1">
        <v>0</v>
      </c>
      <c r="AC157" s="1"/>
      <c r="AD157" s="1">
        <v>0</v>
      </c>
      <c r="AF157" s="4">
        <v>0</v>
      </c>
      <c r="AH157" s="4">
        <f t="shared" si="4"/>
        <v>880133</v>
      </c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</row>
    <row r="158" spans="1:66" s="4" customFormat="1">
      <c r="A158" s="4">
        <v>149</v>
      </c>
      <c r="B158" s="4" t="s">
        <v>9</v>
      </c>
      <c r="D158" s="4" t="s">
        <v>10</v>
      </c>
      <c r="F158" s="1">
        <v>342760</v>
      </c>
      <c r="G158" s="1"/>
      <c r="H158" s="1">
        <v>490232</v>
      </c>
      <c r="I158" s="1"/>
      <c r="J158" s="1">
        <v>49185</v>
      </c>
      <c r="K158" s="1"/>
      <c r="L158" s="1">
        <v>23321</v>
      </c>
      <c r="M158" s="1"/>
      <c r="N158" s="1">
        <v>0</v>
      </c>
      <c r="O158" s="1"/>
      <c r="P158" s="1">
        <v>0</v>
      </c>
      <c r="Q158" s="1"/>
      <c r="R158" s="1">
        <v>2155</v>
      </c>
      <c r="S158" s="1"/>
      <c r="T158" s="1">
        <v>9249</v>
      </c>
      <c r="U158" s="1"/>
      <c r="V158" s="1">
        <v>1557</v>
      </c>
      <c r="W158" s="1"/>
      <c r="X158" s="1">
        <v>0</v>
      </c>
      <c r="Y158" s="1"/>
      <c r="Z158" s="1">
        <v>95000</v>
      </c>
      <c r="AA158" s="1"/>
      <c r="AB158" s="1">
        <v>0</v>
      </c>
      <c r="AC158" s="1"/>
      <c r="AD158" s="1">
        <v>0</v>
      </c>
      <c r="AF158" s="4">
        <v>0</v>
      </c>
      <c r="AH158" s="4">
        <f t="shared" si="4"/>
        <v>1013459</v>
      </c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</row>
    <row r="159" spans="1:66" s="4" customFormat="1">
      <c r="A159" s="4">
        <v>145</v>
      </c>
      <c r="B159" s="4" t="s">
        <v>180</v>
      </c>
      <c r="D159" s="4" t="s">
        <v>55</v>
      </c>
      <c r="F159" s="1">
        <v>4184176</v>
      </c>
      <c r="G159" s="1"/>
      <c r="H159" s="1">
        <v>146595</v>
      </c>
      <c r="I159" s="1"/>
      <c r="J159" s="1">
        <v>4493267</v>
      </c>
      <c r="K159" s="1"/>
      <c r="L159" s="1">
        <v>0</v>
      </c>
      <c r="M159" s="1"/>
      <c r="N159" s="1">
        <v>0</v>
      </c>
      <c r="O159" s="1"/>
      <c r="P159" s="1">
        <v>0</v>
      </c>
      <c r="Q159" s="1"/>
      <c r="R159" s="1">
        <f>184338+8100</f>
        <v>192438</v>
      </c>
      <c r="S159" s="1"/>
      <c r="T159" s="1">
        <v>24686</v>
      </c>
      <c r="U159" s="1"/>
      <c r="V159" s="1">
        <v>7209</v>
      </c>
      <c r="W159" s="1"/>
      <c r="X159" s="1">
        <v>0</v>
      </c>
      <c r="Y159" s="1"/>
      <c r="Z159" s="1">
        <v>0</v>
      </c>
      <c r="AA159" s="1"/>
      <c r="AB159" s="1">
        <v>0</v>
      </c>
      <c r="AC159" s="1"/>
      <c r="AD159" s="1">
        <v>1710349</v>
      </c>
      <c r="AF159" s="4">
        <v>0</v>
      </c>
      <c r="AH159" s="4">
        <f t="shared" si="4"/>
        <v>10758720</v>
      </c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</row>
    <row r="160" spans="1:66" s="4" customFormat="1">
      <c r="A160" s="4">
        <v>7</v>
      </c>
      <c r="B160" s="4" t="s">
        <v>181</v>
      </c>
      <c r="D160" s="4" t="s">
        <v>81</v>
      </c>
      <c r="F160" s="1">
        <v>850</v>
      </c>
      <c r="G160" s="1"/>
      <c r="H160" s="1">
        <v>558084</v>
      </c>
      <c r="I160" s="1"/>
      <c r="J160" s="1">
        <v>1602</v>
      </c>
      <c r="K160" s="1"/>
      <c r="L160" s="1">
        <v>13513</v>
      </c>
      <c r="M160" s="1"/>
      <c r="N160" s="1">
        <v>0</v>
      </c>
      <c r="O160" s="1"/>
      <c r="P160" s="1">
        <v>332</v>
      </c>
      <c r="Q160" s="1"/>
      <c r="R160" s="1">
        <v>54335</v>
      </c>
      <c r="S160" s="1"/>
      <c r="T160" s="1">
        <v>992</v>
      </c>
      <c r="U160" s="1"/>
      <c r="V160" s="1">
        <v>478</v>
      </c>
      <c r="W160" s="1"/>
      <c r="X160" s="1">
        <v>0</v>
      </c>
      <c r="Y160" s="1"/>
      <c r="Z160" s="1">
        <v>0</v>
      </c>
      <c r="AA160" s="1"/>
      <c r="AB160" s="1">
        <v>0</v>
      </c>
      <c r="AC160" s="1"/>
      <c r="AD160" s="1">
        <v>0</v>
      </c>
      <c r="AF160" s="4">
        <v>0</v>
      </c>
      <c r="AH160" s="4">
        <f t="shared" si="4"/>
        <v>630186</v>
      </c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</row>
    <row r="161" spans="1:66" s="4" customFormat="1">
      <c r="A161" s="4">
        <v>210</v>
      </c>
      <c r="B161" s="4" t="s">
        <v>306</v>
      </c>
      <c r="D161" s="4" t="s">
        <v>23</v>
      </c>
      <c r="F161" s="6">
        <v>330856.45</v>
      </c>
      <c r="G161" s="6"/>
      <c r="H161" s="6">
        <v>507115.99</v>
      </c>
      <c r="I161" s="6"/>
      <c r="J161" s="6">
        <v>0</v>
      </c>
      <c r="K161" s="6"/>
      <c r="L161" s="6">
        <v>21274.66</v>
      </c>
      <c r="M161" s="6"/>
      <c r="N161" s="6">
        <v>0</v>
      </c>
      <c r="O161" s="6"/>
      <c r="P161" s="6">
        <v>11088</v>
      </c>
      <c r="Q161" s="6"/>
      <c r="R161" s="6">
        <v>6778.53</v>
      </c>
      <c r="S161" s="6"/>
      <c r="T161" s="6">
        <v>501.23</v>
      </c>
      <c r="U161" s="6"/>
      <c r="V161" s="6">
        <v>8777.61</v>
      </c>
      <c r="W161" s="6"/>
      <c r="X161" s="6">
        <v>0</v>
      </c>
      <c r="Y161" s="6"/>
      <c r="Z161" s="6">
        <v>335000</v>
      </c>
      <c r="AA161" s="6"/>
      <c r="AB161" s="6">
        <v>0</v>
      </c>
      <c r="AC161" s="6"/>
      <c r="AD161" s="6">
        <v>0</v>
      </c>
      <c r="AE161" s="6"/>
      <c r="AF161" s="6">
        <v>0</v>
      </c>
      <c r="AG161" s="6"/>
      <c r="AH161" s="6">
        <f>SUM(F161:AF161)</f>
        <v>1221392.47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</row>
    <row r="162" spans="1:66" s="4" customFormat="1">
      <c r="A162" s="4">
        <v>125</v>
      </c>
      <c r="B162" s="4" t="s">
        <v>182</v>
      </c>
      <c r="D162" s="4" t="s">
        <v>13</v>
      </c>
      <c r="F162" s="1">
        <v>270732</v>
      </c>
      <c r="G162" s="1"/>
      <c r="H162" s="1">
        <v>601862</v>
      </c>
      <c r="I162" s="1"/>
      <c r="J162" s="1">
        <v>43541</v>
      </c>
      <c r="K162" s="1"/>
      <c r="L162" s="1">
        <v>38678</v>
      </c>
      <c r="M162" s="1"/>
      <c r="N162" s="1">
        <v>0</v>
      </c>
      <c r="O162" s="1"/>
      <c r="P162" s="1">
        <v>0</v>
      </c>
      <c r="Q162" s="1"/>
      <c r="R162" s="1">
        <v>8974</v>
      </c>
      <c r="S162" s="1"/>
      <c r="T162" s="1">
        <v>28992</v>
      </c>
      <c r="U162" s="1"/>
      <c r="V162" s="1">
        <v>11028</v>
      </c>
      <c r="W162" s="1"/>
      <c r="X162" s="1">
        <v>0</v>
      </c>
      <c r="Y162" s="1"/>
      <c r="Z162" s="1">
        <v>150000</v>
      </c>
      <c r="AA162" s="1"/>
      <c r="AB162" s="1">
        <v>0</v>
      </c>
      <c r="AC162" s="1"/>
      <c r="AD162" s="1">
        <v>0</v>
      </c>
      <c r="AF162" s="4">
        <v>0</v>
      </c>
      <c r="AH162" s="4">
        <f t="shared" si="4"/>
        <v>1153807</v>
      </c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</row>
    <row r="163" spans="1:66" s="4" customFormat="1">
      <c r="A163" s="4">
        <v>197</v>
      </c>
      <c r="B163" s="4" t="s">
        <v>590</v>
      </c>
      <c r="D163" s="4" t="s">
        <v>183</v>
      </c>
      <c r="F163" s="1">
        <v>3325157</v>
      </c>
      <c r="G163" s="1"/>
      <c r="H163" s="1">
        <v>3545176</v>
      </c>
      <c r="I163" s="1"/>
      <c r="J163" s="1">
        <f>431261+31612</f>
        <v>462873</v>
      </c>
      <c r="K163" s="1"/>
      <c r="L163" s="1">
        <v>229811</v>
      </c>
      <c r="M163" s="1"/>
      <c r="N163" s="1">
        <v>0</v>
      </c>
      <c r="O163" s="1"/>
      <c r="P163" s="1">
        <v>16938</v>
      </c>
      <c r="Q163" s="1"/>
      <c r="R163" s="1">
        <v>31066</v>
      </c>
      <c r="S163" s="1"/>
      <c r="T163" s="1">
        <v>21536</v>
      </c>
      <c r="U163" s="1"/>
      <c r="V163" s="1">
        <f>25200+102909+32721</f>
        <v>160830</v>
      </c>
      <c r="W163" s="1"/>
      <c r="X163" s="1">
        <v>0</v>
      </c>
      <c r="Y163" s="1"/>
      <c r="Z163" s="1">
        <v>228800</v>
      </c>
      <c r="AA163" s="1"/>
      <c r="AB163" s="1">
        <v>0</v>
      </c>
      <c r="AC163" s="1"/>
      <c r="AD163" s="1">
        <v>22000</v>
      </c>
      <c r="AF163" s="4">
        <v>0</v>
      </c>
      <c r="AH163" s="4">
        <f t="shared" ref="AH163:AH165" si="5">SUM(F163:AD163)</f>
        <v>8044187</v>
      </c>
    </row>
    <row r="164" spans="1:66" s="4" customFormat="1">
      <c r="A164" s="4">
        <v>195</v>
      </c>
      <c r="B164" s="4" t="s">
        <v>184</v>
      </c>
      <c r="D164" s="4" t="s">
        <v>100</v>
      </c>
      <c r="F164" s="6">
        <v>0</v>
      </c>
      <c r="G164" s="6"/>
      <c r="H164" s="6">
        <v>48959.92</v>
      </c>
      <c r="I164" s="6"/>
      <c r="J164" s="6">
        <v>0</v>
      </c>
      <c r="K164" s="6"/>
      <c r="L164" s="6">
        <v>591.82000000000005</v>
      </c>
      <c r="M164" s="6"/>
      <c r="N164" s="6">
        <v>0</v>
      </c>
      <c r="O164" s="6"/>
      <c r="P164" s="6">
        <v>0</v>
      </c>
      <c r="Q164" s="6"/>
      <c r="R164" s="6">
        <v>0</v>
      </c>
      <c r="S164" s="6"/>
      <c r="T164" s="6">
        <v>1403.66</v>
      </c>
      <c r="U164" s="6"/>
      <c r="V164" s="6">
        <v>51.77</v>
      </c>
      <c r="W164" s="6"/>
      <c r="X164" s="6">
        <v>0</v>
      </c>
      <c r="Y164" s="6"/>
      <c r="Z164" s="6">
        <v>0</v>
      </c>
      <c r="AA164" s="6"/>
      <c r="AB164" s="6">
        <v>0</v>
      </c>
      <c r="AC164" s="6"/>
      <c r="AD164" s="6">
        <v>0</v>
      </c>
      <c r="AE164" s="6"/>
      <c r="AF164" s="6">
        <v>0</v>
      </c>
      <c r="AG164" s="6"/>
      <c r="AH164" s="6">
        <f>SUM(F164:AF164)</f>
        <v>51007.17</v>
      </c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</row>
    <row r="165" spans="1:66" s="4" customFormat="1">
      <c r="A165" s="4">
        <v>154</v>
      </c>
      <c r="B165" s="4" t="s">
        <v>185</v>
      </c>
      <c r="D165" s="4" t="s">
        <v>186</v>
      </c>
      <c r="F165" s="1">
        <v>0</v>
      </c>
      <c r="G165" s="1"/>
      <c r="H165" s="1">
        <v>1954641</v>
      </c>
      <c r="I165" s="1"/>
      <c r="J165" s="1">
        <v>12766</v>
      </c>
      <c r="K165" s="1"/>
      <c r="L165" s="1">
        <v>46695</v>
      </c>
      <c r="M165" s="1"/>
      <c r="N165" s="1">
        <v>0</v>
      </c>
      <c r="O165" s="1"/>
      <c r="P165" s="1">
        <v>0</v>
      </c>
      <c r="Q165" s="1"/>
      <c r="R165" s="1">
        <v>20718</v>
      </c>
      <c r="S165" s="1"/>
      <c r="T165" s="1">
        <v>9604</v>
      </c>
      <c r="U165" s="1"/>
      <c r="V165" s="1">
        <v>19351</v>
      </c>
      <c r="W165" s="1"/>
      <c r="X165" s="1">
        <v>0</v>
      </c>
      <c r="Y165" s="1"/>
      <c r="Z165" s="1">
        <v>500000</v>
      </c>
      <c r="AA165" s="1"/>
      <c r="AB165" s="1">
        <v>0</v>
      </c>
      <c r="AC165" s="1"/>
      <c r="AD165" s="1">
        <v>0</v>
      </c>
      <c r="AF165" s="4">
        <v>0</v>
      </c>
      <c r="AH165" s="4">
        <f t="shared" si="5"/>
        <v>2563775</v>
      </c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</row>
    <row r="166" spans="1:66" s="4" customFormat="1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66" s="4" customFormat="1">
      <c r="AH167" s="43" t="s">
        <v>580</v>
      </c>
    </row>
    <row r="168" spans="1:66">
      <c r="B168" s="3" t="s">
        <v>518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66">
      <c r="B169" s="3" t="s">
        <v>626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66">
      <c r="B170" s="41" t="s">
        <v>5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66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66" s="36" customFormat="1">
      <c r="F172" s="28"/>
      <c r="G172" s="28"/>
      <c r="H172" s="28" t="s">
        <v>280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</row>
    <row r="173" spans="1:66" s="36" customFormat="1">
      <c r="F173" s="28" t="s">
        <v>29</v>
      </c>
      <c r="G173" s="28"/>
      <c r="H173" s="28" t="s">
        <v>281</v>
      </c>
      <c r="I173" s="28"/>
      <c r="J173" s="28"/>
      <c r="K173" s="28"/>
      <c r="L173" s="28"/>
      <c r="M173" s="28"/>
      <c r="N173" s="28"/>
      <c r="O173" s="28"/>
      <c r="P173" s="28" t="s">
        <v>27</v>
      </c>
      <c r="Q173" s="28"/>
      <c r="R173" s="28" t="s">
        <v>287</v>
      </c>
      <c r="S173" s="28"/>
      <c r="T173" s="28"/>
      <c r="U173" s="28"/>
      <c r="V173" s="28"/>
      <c r="W173" s="28"/>
      <c r="X173" s="28" t="s">
        <v>292</v>
      </c>
      <c r="Y173" s="28"/>
      <c r="Z173" s="28"/>
      <c r="AA173" s="28"/>
      <c r="AB173" s="28"/>
      <c r="AC173" s="28"/>
      <c r="AD173" s="28" t="s">
        <v>0</v>
      </c>
      <c r="AE173" s="28"/>
      <c r="AF173" s="28"/>
      <c r="AG173" s="28"/>
      <c r="AH173" s="28"/>
    </row>
    <row r="174" spans="1:66" s="36" customFormat="1" ht="12" customHeight="1">
      <c r="F174" s="28" t="s">
        <v>0</v>
      </c>
      <c r="G174" s="28"/>
      <c r="H174" s="28" t="s">
        <v>282</v>
      </c>
      <c r="I174" s="28"/>
      <c r="J174" s="28" t="s">
        <v>344</v>
      </c>
      <c r="K174" s="28"/>
      <c r="L174" s="28" t="s">
        <v>284</v>
      </c>
      <c r="M174" s="28"/>
      <c r="N174" s="28"/>
      <c r="O174" s="28"/>
      <c r="P174" s="28" t="s">
        <v>286</v>
      </c>
      <c r="Q174" s="28"/>
      <c r="R174" s="28" t="s">
        <v>288</v>
      </c>
      <c r="S174" s="28"/>
      <c r="T174" s="28" t="s">
        <v>290</v>
      </c>
      <c r="U174" s="28"/>
      <c r="V174" s="28"/>
      <c r="W174" s="28"/>
      <c r="X174" s="28" t="s">
        <v>293</v>
      </c>
      <c r="Y174" s="28"/>
      <c r="Z174" s="28"/>
      <c r="AA174" s="28"/>
      <c r="AB174" s="28"/>
      <c r="AC174" s="28"/>
      <c r="AD174" s="28" t="s">
        <v>294</v>
      </c>
      <c r="AE174" s="28"/>
      <c r="AF174" s="28" t="s">
        <v>636</v>
      </c>
      <c r="AG174" s="28"/>
      <c r="AH174" s="28"/>
    </row>
    <row r="175" spans="1:66" s="36" customFormat="1" ht="12" customHeight="1">
      <c r="A175" s="36" t="s">
        <v>567</v>
      </c>
      <c r="B175" s="37"/>
      <c r="C175" s="44"/>
      <c r="D175" s="37" t="s">
        <v>4</v>
      </c>
      <c r="E175" s="44"/>
      <c r="F175" s="52" t="s">
        <v>279</v>
      </c>
      <c r="G175" s="49"/>
      <c r="H175" s="52" t="s">
        <v>283</v>
      </c>
      <c r="I175" s="49"/>
      <c r="J175" s="52" t="s">
        <v>345</v>
      </c>
      <c r="K175" s="49"/>
      <c r="L175" s="52" t="s">
        <v>285</v>
      </c>
      <c r="M175" s="49"/>
      <c r="N175" s="52" t="s">
        <v>549</v>
      </c>
      <c r="O175" s="49"/>
      <c r="P175" s="52" t="s">
        <v>551</v>
      </c>
      <c r="Q175" s="49"/>
      <c r="R175" s="52" t="s">
        <v>289</v>
      </c>
      <c r="S175" s="49"/>
      <c r="T175" s="52" t="s">
        <v>291</v>
      </c>
      <c r="U175" s="49"/>
      <c r="V175" s="52" t="s">
        <v>1</v>
      </c>
      <c r="W175" s="49"/>
      <c r="X175" s="52" t="s">
        <v>30</v>
      </c>
      <c r="Y175" s="49"/>
      <c r="Z175" s="52" t="s">
        <v>502</v>
      </c>
      <c r="AA175" s="49"/>
      <c r="AB175" s="52" t="s">
        <v>503</v>
      </c>
      <c r="AC175" s="49"/>
      <c r="AD175" s="52" t="s">
        <v>295</v>
      </c>
      <c r="AE175" s="49"/>
      <c r="AF175" s="52" t="s">
        <v>418</v>
      </c>
      <c r="AG175" s="49"/>
      <c r="AH175" s="40" t="s">
        <v>26</v>
      </c>
    </row>
    <row r="176" spans="1:66" s="7" customFormat="1">
      <c r="A176" s="7">
        <v>21</v>
      </c>
      <c r="B176" s="7" t="s">
        <v>424</v>
      </c>
      <c r="D176" s="7" t="s">
        <v>11</v>
      </c>
      <c r="F176" s="75">
        <v>0</v>
      </c>
      <c r="G176" s="75"/>
      <c r="H176" s="75">
        <v>923983.98</v>
      </c>
      <c r="I176" s="75"/>
      <c r="J176" s="75">
        <v>29917</v>
      </c>
      <c r="K176" s="75"/>
      <c r="L176" s="75">
        <v>28158.69</v>
      </c>
      <c r="M176" s="75"/>
      <c r="N176" s="75">
        <v>0</v>
      </c>
      <c r="O176" s="75"/>
      <c r="P176" s="75">
        <v>0</v>
      </c>
      <c r="Q176" s="75"/>
      <c r="R176" s="75">
        <v>16832.060000000001</v>
      </c>
      <c r="S176" s="75"/>
      <c r="T176" s="75">
        <v>3919.42</v>
      </c>
      <c r="U176" s="75"/>
      <c r="V176" s="75">
        <v>11186.9</v>
      </c>
      <c r="W176" s="75"/>
      <c r="X176" s="75">
        <v>0</v>
      </c>
      <c r="Y176" s="75"/>
      <c r="Z176" s="75">
        <v>0</v>
      </c>
      <c r="AA176" s="75"/>
      <c r="AB176" s="75">
        <v>0</v>
      </c>
      <c r="AC176" s="75"/>
      <c r="AD176" s="75">
        <v>0</v>
      </c>
      <c r="AE176" s="75"/>
      <c r="AF176" s="75">
        <v>0</v>
      </c>
      <c r="AG176" s="75"/>
      <c r="AH176" s="75">
        <f>SUM(F176:AF176)</f>
        <v>1013998.05</v>
      </c>
    </row>
    <row r="177" spans="1:66" s="7" customFormat="1">
      <c r="A177" s="4">
        <v>198</v>
      </c>
      <c r="B177" s="4" t="s">
        <v>187</v>
      </c>
      <c r="C177" s="4"/>
      <c r="D177" s="4" t="s">
        <v>183</v>
      </c>
      <c r="E177" s="4"/>
      <c r="F177" s="6">
        <v>0</v>
      </c>
      <c r="G177" s="6"/>
      <c r="H177" s="6">
        <v>445828.94</v>
      </c>
      <c r="I177" s="6"/>
      <c r="J177" s="6">
        <v>1300</v>
      </c>
      <c r="K177" s="6"/>
      <c r="L177" s="6">
        <v>21326.7</v>
      </c>
      <c r="M177" s="6"/>
      <c r="N177" s="6">
        <v>0</v>
      </c>
      <c r="O177" s="6"/>
      <c r="P177" s="6">
        <v>0</v>
      </c>
      <c r="Q177" s="6"/>
      <c r="R177" s="6">
        <v>11981.2</v>
      </c>
      <c r="S177" s="6"/>
      <c r="T177" s="6">
        <v>42625.14</v>
      </c>
      <c r="U177" s="6"/>
      <c r="V177" s="6">
        <v>7729.47</v>
      </c>
      <c r="W177" s="6"/>
      <c r="X177" s="6">
        <v>0</v>
      </c>
      <c r="Y177" s="6"/>
      <c r="Z177" s="6">
        <v>50000</v>
      </c>
      <c r="AA177" s="6"/>
      <c r="AB177" s="6">
        <v>0</v>
      </c>
      <c r="AC177" s="6"/>
      <c r="AD177" s="6">
        <v>0</v>
      </c>
      <c r="AE177" s="6"/>
      <c r="AF177" s="6">
        <v>0</v>
      </c>
      <c r="AG177" s="6"/>
      <c r="AH177" s="6">
        <f>SUM(F177:AF177)</f>
        <v>580791.45000000007</v>
      </c>
    </row>
    <row r="178" spans="1:66" s="4" customFormat="1">
      <c r="A178" s="4">
        <v>242</v>
      </c>
      <c r="B178" s="4" t="s">
        <v>188</v>
      </c>
      <c r="D178" s="4" t="s">
        <v>52</v>
      </c>
      <c r="F178" s="6">
        <v>558106.30000000005</v>
      </c>
      <c r="G178" s="6"/>
      <c r="H178" s="6">
        <v>555919.61</v>
      </c>
      <c r="I178" s="6"/>
      <c r="J178" s="6">
        <v>76247.81</v>
      </c>
      <c r="K178" s="6"/>
      <c r="L178" s="6">
        <v>17848.669999999998</v>
      </c>
      <c r="M178" s="6"/>
      <c r="N178" s="6">
        <v>0</v>
      </c>
      <c r="O178" s="6"/>
      <c r="P178" s="6">
        <v>0</v>
      </c>
      <c r="Q178" s="6"/>
      <c r="R178" s="6">
        <v>2938.69</v>
      </c>
      <c r="S178" s="6"/>
      <c r="T178" s="6">
        <v>10478.030000000001</v>
      </c>
      <c r="U178" s="6"/>
      <c r="V178" s="6">
        <v>3490.18</v>
      </c>
      <c r="W178" s="6"/>
      <c r="X178" s="6">
        <v>0</v>
      </c>
      <c r="Y178" s="6"/>
      <c r="Z178" s="6">
        <v>250000</v>
      </c>
      <c r="AA178" s="6"/>
      <c r="AB178" s="6">
        <v>0</v>
      </c>
      <c r="AC178" s="6"/>
      <c r="AD178" s="6">
        <v>0</v>
      </c>
      <c r="AE178" s="6"/>
      <c r="AF178" s="6">
        <v>0</v>
      </c>
      <c r="AG178" s="6"/>
      <c r="AH178" s="6">
        <f>SUM(F178:AF178)</f>
        <v>1475029.29</v>
      </c>
    </row>
    <row r="179" spans="1:66" s="4" customFormat="1">
      <c r="A179" s="4">
        <v>99</v>
      </c>
      <c r="B179" s="4" t="s">
        <v>189</v>
      </c>
      <c r="D179" s="4" t="s">
        <v>59</v>
      </c>
      <c r="F179" s="6">
        <v>0</v>
      </c>
      <c r="G179" s="6"/>
      <c r="H179" s="6">
        <v>382184.43</v>
      </c>
      <c r="I179" s="6"/>
      <c r="J179" s="6">
        <v>63691.53</v>
      </c>
      <c r="K179" s="6"/>
      <c r="L179" s="6">
        <v>18158.080000000002</v>
      </c>
      <c r="M179" s="6"/>
      <c r="N179" s="6">
        <v>0</v>
      </c>
      <c r="O179" s="6"/>
      <c r="P179" s="6">
        <v>0</v>
      </c>
      <c r="Q179" s="6"/>
      <c r="R179" s="6">
        <v>5551.28</v>
      </c>
      <c r="S179" s="6"/>
      <c r="T179" s="6">
        <v>106846.3</v>
      </c>
      <c r="U179" s="6"/>
      <c r="V179" s="6">
        <v>2477.86</v>
      </c>
      <c r="W179" s="6"/>
      <c r="X179" s="6">
        <v>0</v>
      </c>
      <c r="Y179" s="6"/>
      <c r="Z179" s="6">
        <v>111911.83</v>
      </c>
      <c r="AA179" s="6"/>
      <c r="AB179" s="6">
        <v>0</v>
      </c>
      <c r="AC179" s="6"/>
      <c r="AD179" s="6">
        <v>0</v>
      </c>
      <c r="AE179" s="6"/>
      <c r="AF179" s="6">
        <v>2141.96</v>
      </c>
      <c r="AG179" s="6"/>
      <c r="AH179" s="6">
        <f>SUM(F179:AF179)</f>
        <v>692963.2699999999</v>
      </c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</row>
    <row r="180" spans="1:66" s="4" customFormat="1">
      <c r="A180" s="4">
        <v>237</v>
      </c>
      <c r="B180" s="4" t="s">
        <v>190</v>
      </c>
      <c r="D180" s="4" t="s">
        <v>191</v>
      </c>
      <c r="F180" s="66">
        <v>620600</v>
      </c>
      <c r="G180" s="1"/>
      <c r="H180" s="66">
        <v>654598</v>
      </c>
      <c r="I180" s="1"/>
      <c r="J180" s="66">
        <v>272460</v>
      </c>
      <c r="K180" s="1"/>
      <c r="L180" s="66">
        <v>67129</v>
      </c>
      <c r="M180" s="1"/>
      <c r="N180" s="1">
        <v>0</v>
      </c>
      <c r="O180" s="1"/>
      <c r="P180" s="1">
        <v>0</v>
      </c>
      <c r="Q180" s="1"/>
      <c r="R180" s="66">
        <v>14299</v>
      </c>
      <c r="S180" s="1"/>
      <c r="T180" s="66">
        <v>1146</v>
      </c>
      <c r="U180" s="1"/>
      <c r="V180" s="1">
        <v>0</v>
      </c>
      <c r="W180" s="1"/>
      <c r="X180" s="1">
        <v>0</v>
      </c>
      <c r="Y180" s="1"/>
      <c r="Z180" s="1">
        <v>0</v>
      </c>
      <c r="AA180" s="1"/>
      <c r="AB180" s="1">
        <v>0</v>
      </c>
      <c r="AC180" s="1"/>
      <c r="AD180" s="1">
        <v>0</v>
      </c>
      <c r="AF180" s="4">
        <v>0</v>
      </c>
      <c r="AH180" s="4">
        <f t="shared" ref="AH180:AH207" si="6">SUM(F180:AD180)</f>
        <v>1630232</v>
      </c>
    </row>
    <row r="181" spans="1:66" s="4" customFormat="1">
      <c r="A181" s="4">
        <v>243</v>
      </c>
      <c r="B181" s="4" t="s">
        <v>192</v>
      </c>
      <c r="D181" s="4" t="s">
        <v>52</v>
      </c>
      <c r="F181" s="6">
        <v>1336756.25</v>
      </c>
      <c r="G181" s="6"/>
      <c r="H181" s="6">
        <v>1123508.3799999999</v>
      </c>
      <c r="I181" s="6"/>
      <c r="J181" s="6">
        <v>161178.6</v>
      </c>
      <c r="K181" s="6"/>
      <c r="L181" s="6">
        <v>59064.24</v>
      </c>
      <c r="M181" s="6"/>
      <c r="N181" s="6">
        <v>0</v>
      </c>
      <c r="O181" s="6"/>
      <c r="P181" s="6">
        <v>0</v>
      </c>
      <c r="Q181" s="6"/>
      <c r="R181" s="6">
        <v>16106.89</v>
      </c>
      <c r="S181" s="6"/>
      <c r="T181" s="6">
        <v>5987.33</v>
      </c>
      <c r="U181" s="6"/>
      <c r="V181" s="6">
        <v>2628.81</v>
      </c>
      <c r="W181" s="6"/>
      <c r="X181" s="6">
        <v>0</v>
      </c>
      <c r="Y181" s="6"/>
      <c r="Z181" s="6">
        <v>0</v>
      </c>
      <c r="AA181" s="6"/>
      <c r="AB181" s="6">
        <v>0</v>
      </c>
      <c r="AC181" s="6"/>
      <c r="AD181" s="6">
        <v>0</v>
      </c>
      <c r="AE181" s="6"/>
      <c r="AF181" s="6">
        <v>0</v>
      </c>
      <c r="AG181" s="6"/>
      <c r="AH181" s="6">
        <f>SUM(F181:AF181)</f>
        <v>2705230.5000000005</v>
      </c>
    </row>
    <row r="182" spans="1:66" s="4" customFormat="1">
      <c r="A182" s="4">
        <v>211</v>
      </c>
      <c r="B182" s="4" t="s">
        <v>453</v>
      </c>
      <c r="D182" s="4" t="s">
        <v>23</v>
      </c>
      <c r="F182" s="1">
        <v>751217</v>
      </c>
      <c r="G182" s="1"/>
      <c r="H182" s="1">
        <v>1287400</v>
      </c>
      <c r="I182" s="1"/>
      <c r="J182" s="1">
        <f>114757+5200</f>
        <v>119957</v>
      </c>
      <c r="K182" s="1"/>
      <c r="L182" s="1">
        <v>45117</v>
      </c>
      <c r="M182" s="1"/>
      <c r="N182" s="1">
        <v>0</v>
      </c>
      <c r="O182" s="1"/>
      <c r="P182" s="1">
        <v>0</v>
      </c>
      <c r="Q182" s="1"/>
      <c r="R182" s="1">
        <v>22361</v>
      </c>
      <c r="S182" s="1"/>
      <c r="T182" s="1">
        <v>929</v>
      </c>
      <c r="U182" s="1"/>
      <c r="V182" s="1">
        <v>18278</v>
      </c>
      <c r="W182" s="1"/>
      <c r="X182" s="1">
        <v>0</v>
      </c>
      <c r="Y182" s="1"/>
      <c r="Z182" s="1">
        <v>26000</v>
      </c>
      <c r="AA182" s="1"/>
      <c r="AB182" s="1">
        <v>0</v>
      </c>
      <c r="AC182" s="1"/>
      <c r="AD182" s="1">
        <v>0</v>
      </c>
      <c r="AF182" s="4">
        <v>0</v>
      </c>
      <c r="AH182" s="4">
        <f t="shared" si="6"/>
        <v>2271259</v>
      </c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</row>
    <row r="183" spans="1:66" s="4" customFormat="1">
      <c r="A183" s="4">
        <v>94</v>
      </c>
      <c r="B183" s="4" t="s">
        <v>336</v>
      </c>
      <c r="D183" s="4" t="s">
        <v>137</v>
      </c>
      <c r="F183" s="6">
        <v>0</v>
      </c>
      <c r="G183" s="6"/>
      <c r="H183" s="6">
        <v>249322.45</v>
      </c>
      <c r="I183" s="6"/>
      <c r="J183" s="6">
        <v>0</v>
      </c>
      <c r="K183" s="6"/>
      <c r="L183" s="6">
        <v>7431.49</v>
      </c>
      <c r="M183" s="6"/>
      <c r="N183" s="6">
        <v>0</v>
      </c>
      <c r="O183" s="6"/>
      <c r="P183" s="6">
        <v>0</v>
      </c>
      <c r="Q183" s="6"/>
      <c r="R183" s="6">
        <v>26776.93</v>
      </c>
      <c r="S183" s="6"/>
      <c r="T183" s="6">
        <v>8797.27</v>
      </c>
      <c r="U183" s="6"/>
      <c r="V183" s="6">
        <v>916.2</v>
      </c>
      <c r="W183" s="6"/>
      <c r="X183" s="6">
        <v>0</v>
      </c>
      <c r="Y183" s="6"/>
      <c r="Z183" s="6">
        <v>0</v>
      </c>
      <c r="AA183" s="6"/>
      <c r="AB183" s="6">
        <v>0</v>
      </c>
      <c r="AC183" s="6"/>
      <c r="AD183" s="6">
        <v>0</v>
      </c>
      <c r="AE183" s="6"/>
      <c r="AF183" s="6">
        <v>0</v>
      </c>
      <c r="AG183" s="6"/>
      <c r="AH183" s="6">
        <f>SUM(F183:AF183)</f>
        <v>293244.34000000003</v>
      </c>
    </row>
    <row r="184" spans="1:66" s="4" customFormat="1">
      <c r="A184" s="4">
        <v>227</v>
      </c>
      <c r="B184" s="4" t="s">
        <v>433</v>
      </c>
      <c r="D184" s="4" t="s">
        <v>54</v>
      </c>
      <c r="F184" s="1">
        <v>328887</v>
      </c>
      <c r="G184" s="1"/>
      <c r="H184" s="1">
        <v>861110</v>
      </c>
      <c r="I184" s="1"/>
      <c r="J184" s="1">
        <v>69919</v>
      </c>
      <c r="K184" s="1"/>
      <c r="L184" s="1">
        <v>21893</v>
      </c>
      <c r="M184" s="1"/>
      <c r="N184" s="1">
        <v>0</v>
      </c>
      <c r="O184" s="1"/>
      <c r="P184" s="1">
        <v>0</v>
      </c>
      <c r="Q184" s="1"/>
      <c r="R184" s="1">
        <v>10648</v>
      </c>
      <c r="S184" s="1"/>
      <c r="T184" s="1">
        <v>4981</v>
      </c>
      <c r="U184" s="1"/>
      <c r="V184" s="1">
        <v>21752</v>
      </c>
      <c r="W184" s="1"/>
      <c r="X184" s="1">
        <v>0</v>
      </c>
      <c r="Y184" s="1"/>
      <c r="Z184" s="1">
        <v>176941</v>
      </c>
      <c r="AA184" s="1"/>
      <c r="AB184" s="1">
        <v>0</v>
      </c>
      <c r="AC184" s="1"/>
      <c r="AD184" s="1">
        <v>0</v>
      </c>
      <c r="AF184" s="4">
        <v>0</v>
      </c>
      <c r="AH184" s="4">
        <f t="shared" si="6"/>
        <v>1496131</v>
      </c>
    </row>
    <row r="185" spans="1:66" s="4" customFormat="1">
      <c r="A185" s="4">
        <v>29</v>
      </c>
      <c r="B185" s="4" t="s">
        <v>194</v>
      </c>
      <c r="D185" s="4" t="s">
        <v>60</v>
      </c>
      <c r="F185" s="6">
        <v>73999.03</v>
      </c>
      <c r="G185" s="6"/>
      <c r="H185" s="6">
        <v>251112.5</v>
      </c>
      <c r="I185" s="6"/>
      <c r="J185" s="6">
        <v>16561.849999999999</v>
      </c>
      <c r="K185" s="6"/>
      <c r="L185" s="6">
        <v>5913.5</v>
      </c>
      <c r="M185" s="6"/>
      <c r="N185" s="6">
        <v>0</v>
      </c>
      <c r="O185" s="6"/>
      <c r="P185" s="6">
        <v>0</v>
      </c>
      <c r="Q185" s="6"/>
      <c r="R185" s="6">
        <v>3267.14</v>
      </c>
      <c r="S185" s="6"/>
      <c r="T185" s="6">
        <v>5392.34</v>
      </c>
      <c r="U185" s="6"/>
      <c r="V185" s="6">
        <v>6367.82</v>
      </c>
      <c r="W185" s="6"/>
      <c r="X185" s="6">
        <v>0</v>
      </c>
      <c r="Y185" s="6"/>
      <c r="Z185" s="6">
        <v>0</v>
      </c>
      <c r="AA185" s="6"/>
      <c r="AB185" s="6">
        <v>0</v>
      </c>
      <c r="AC185" s="6"/>
      <c r="AD185" s="6">
        <v>0</v>
      </c>
      <c r="AE185" s="6"/>
      <c r="AF185" s="6">
        <v>0</v>
      </c>
      <c r="AG185" s="6"/>
      <c r="AH185" s="6">
        <f>SUM(F185:AF185)</f>
        <v>362614.18000000005</v>
      </c>
    </row>
    <row r="186" spans="1:66" s="4" customFormat="1">
      <c r="A186" s="4">
        <v>156</v>
      </c>
      <c r="B186" s="4" t="s">
        <v>591</v>
      </c>
      <c r="D186" s="4" t="s">
        <v>18</v>
      </c>
      <c r="F186" s="1">
        <v>7384508</v>
      </c>
      <c r="G186" s="1"/>
      <c r="H186" s="1">
        <v>3222083</v>
      </c>
      <c r="I186" s="1"/>
      <c r="J186" s="1">
        <v>582833</v>
      </c>
      <c r="K186" s="1">
        <v>55</v>
      </c>
      <c r="L186" s="1">
        <v>290635</v>
      </c>
      <c r="M186" s="1"/>
      <c r="N186" s="1">
        <v>0</v>
      </c>
      <c r="O186" s="1"/>
      <c r="P186" s="1">
        <v>0</v>
      </c>
      <c r="Q186" s="1"/>
      <c r="R186" s="1">
        <v>27020</v>
      </c>
      <c r="S186" s="1"/>
      <c r="T186" s="1">
        <v>29838</v>
      </c>
      <c r="U186" s="1"/>
      <c r="V186" s="1">
        <v>56903</v>
      </c>
      <c r="W186" s="1"/>
      <c r="X186" s="1">
        <v>0</v>
      </c>
      <c r="Y186" s="1"/>
      <c r="Z186" s="1">
        <v>0</v>
      </c>
      <c r="AA186" s="1"/>
      <c r="AB186" s="1">
        <v>0</v>
      </c>
      <c r="AC186" s="1"/>
      <c r="AD186" s="1">
        <f>25019993+2683612</f>
        <v>27703605</v>
      </c>
      <c r="AF186" s="4">
        <v>0</v>
      </c>
      <c r="AH186" s="4">
        <f t="shared" si="6"/>
        <v>39297480</v>
      </c>
    </row>
    <row r="187" spans="1:66" s="4" customFormat="1">
      <c r="A187" s="4">
        <v>157</v>
      </c>
      <c r="B187" s="4" t="s">
        <v>483</v>
      </c>
      <c r="D187" s="4" t="s">
        <v>426</v>
      </c>
      <c r="F187" s="73">
        <v>0</v>
      </c>
      <c r="G187" s="73"/>
      <c r="H187" s="73">
        <v>696766.54</v>
      </c>
      <c r="I187" s="73"/>
      <c r="J187" s="73">
        <v>0</v>
      </c>
      <c r="K187" s="73"/>
      <c r="L187" s="73">
        <v>19431.240000000002</v>
      </c>
      <c r="M187" s="73"/>
      <c r="N187" s="73">
        <v>0</v>
      </c>
      <c r="O187" s="73"/>
      <c r="P187" s="73">
        <v>0</v>
      </c>
      <c r="Q187" s="73"/>
      <c r="R187" s="73">
        <v>9379.9599999999991</v>
      </c>
      <c r="S187" s="73"/>
      <c r="T187" s="73">
        <v>15238.89</v>
      </c>
      <c r="U187" s="73"/>
      <c r="V187" s="73">
        <v>24282.33</v>
      </c>
      <c r="W187" s="73"/>
      <c r="X187" s="73">
        <v>0</v>
      </c>
      <c r="Y187" s="73"/>
      <c r="Z187" s="73">
        <v>0</v>
      </c>
      <c r="AA187" s="73"/>
      <c r="AB187" s="73">
        <v>0</v>
      </c>
      <c r="AC187" s="73"/>
      <c r="AD187" s="73">
        <v>0</v>
      </c>
      <c r="AE187" s="73"/>
      <c r="AF187" s="73">
        <v>0</v>
      </c>
      <c r="AG187" s="73"/>
      <c r="AH187" s="73">
        <f>SUM(F187:AF187)</f>
        <v>765098.96</v>
      </c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</row>
    <row r="188" spans="1:66" s="4" customFormat="1">
      <c r="A188" s="4">
        <v>126</v>
      </c>
      <c r="B188" s="4" t="s">
        <v>12</v>
      </c>
      <c r="D188" s="4" t="s">
        <v>13</v>
      </c>
      <c r="F188" s="66">
        <v>2059577</v>
      </c>
      <c r="G188" s="1"/>
      <c r="H188" s="66">
        <v>1588833</v>
      </c>
      <c r="I188" s="1"/>
      <c r="J188" s="1">
        <v>1177</v>
      </c>
      <c r="K188" s="1"/>
      <c r="L188" s="66">
        <v>104442</v>
      </c>
      <c r="M188" s="1"/>
      <c r="N188" s="1">
        <v>0</v>
      </c>
      <c r="O188" s="1"/>
      <c r="P188" s="66">
        <v>13046</v>
      </c>
      <c r="Q188" s="1"/>
      <c r="R188" s="66">
        <v>4661</v>
      </c>
      <c r="S188" s="1"/>
      <c r="T188" s="66">
        <v>3275</v>
      </c>
      <c r="U188" s="1"/>
      <c r="V188" s="66">
        <v>47309</v>
      </c>
      <c r="W188" s="1"/>
      <c r="X188" s="1">
        <v>0</v>
      </c>
      <c r="Y188" s="1"/>
      <c r="Z188" s="1">
        <v>526100</v>
      </c>
      <c r="AA188" s="1"/>
      <c r="AB188" s="66">
        <v>75000</v>
      </c>
      <c r="AC188" s="1"/>
      <c r="AD188" s="1">
        <v>0</v>
      </c>
      <c r="AF188" s="4">
        <v>0</v>
      </c>
      <c r="AH188" s="4">
        <f t="shared" si="6"/>
        <v>4423420</v>
      </c>
    </row>
    <row r="189" spans="1:66" s="4" customFormat="1">
      <c r="A189" s="4">
        <v>160</v>
      </c>
      <c r="B189" s="4" t="s">
        <v>592</v>
      </c>
      <c r="D189" s="4" t="s">
        <v>48</v>
      </c>
      <c r="F189" s="6">
        <v>229134.23</v>
      </c>
      <c r="G189" s="6"/>
      <c r="H189" s="6">
        <v>769103.87</v>
      </c>
      <c r="I189" s="6"/>
      <c r="J189" s="6">
        <v>35708.11</v>
      </c>
      <c r="K189" s="6"/>
      <c r="L189" s="6">
        <v>14161.91</v>
      </c>
      <c r="M189" s="6"/>
      <c r="N189" s="6">
        <v>0</v>
      </c>
      <c r="O189" s="6"/>
      <c r="P189" s="6">
        <v>0</v>
      </c>
      <c r="Q189" s="6"/>
      <c r="R189" s="6">
        <v>7895.87</v>
      </c>
      <c r="S189" s="6"/>
      <c r="T189" s="6">
        <v>1253.1400000000001</v>
      </c>
      <c r="U189" s="6"/>
      <c r="V189" s="6">
        <v>2527.2399999999998</v>
      </c>
      <c r="W189" s="6"/>
      <c r="X189" s="6">
        <v>0</v>
      </c>
      <c r="Y189" s="6"/>
      <c r="Z189" s="6">
        <v>66223.41</v>
      </c>
      <c r="AA189" s="6"/>
      <c r="AB189" s="6">
        <v>0</v>
      </c>
      <c r="AC189" s="6"/>
      <c r="AD189" s="6">
        <v>0</v>
      </c>
      <c r="AE189" s="6"/>
      <c r="AF189" s="6">
        <v>0</v>
      </c>
      <c r="AG189" s="6"/>
      <c r="AH189" s="6">
        <f>SUM(F189:AF189)</f>
        <v>1126007.7799999998</v>
      </c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</row>
    <row r="190" spans="1:66" s="4" customFormat="1">
      <c r="A190" s="4">
        <v>26</v>
      </c>
      <c r="B190" s="4" t="s">
        <v>195</v>
      </c>
      <c r="D190" s="4" t="s">
        <v>8</v>
      </c>
      <c r="F190" s="1">
        <v>3108970</v>
      </c>
      <c r="G190" s="1"/>
      <c r="H190" s="1">
        <v>4549772</v>
      </c>
      <c r="I190" s="1"/>
      <c r="J190" s="1">
        <v>0</v>
      </c>
      <c r="K190" s="1"/>
      <c r="L190" s="1">
        <v>252122</v>
      </c>
      <c r="M190" s="1"/>
      <c r="N190" s="1">
        <v>0</v>
      </c>
      <c r="O190" s="1"/>
      <c r="P190" s="1">
        <v>0</v>
      </c>
      <c r="Q190" s="1"/>
      <c r="R190" s="1">
        <v>42131</v>
      </c>
      <c r="S190" s="1"/>
      <c r="T190" s="1">
        <v>8867</v>
      </c>
      <c r="U190" s="1"/>
      <c r="V190" s="1">
        <v>43704</v>
      </c>
      <c r="W190" s="1"/>
      <c r="X190" s="1">
        <v>0</v>
      </c>
      <c r="Y190" s="1"/>
      <c r="Z190" s="1">
        <v>250000</v>
      </c>
      <c r="AA190" s="1"/>
      <c r="AB190" s="1">
        <v>0</v>
      </c>
      <c r="AC190" s="1"/>
      <c r="AD190" s="1">
        <v>0</v>
      </c>
      <c r="AF190" s="4">
        <v>0</v>
      </c>
      <c r="AH190" s="4">
        <f t="shared" si="6"/>
        <v>8255566</v>
      </c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</row>
    <row r="191" spans="1:66" s="4" customFormat="1">
      <c r="A191" s="4">
        <v>67</v>
      </c>
      <c r="B191" s="4" t="s">
        <v>196</v>
      </c>
      <c r="D191" s="4" t="s">
        <v>165</v>
      </c>
      <c r="F191" s="6">
        <v>330687.73</v>
      </c>
      <c r="G191" s="6"/>
      <c r="H191" s="6">
        <v>332609.71999999997</v>
      </c>
      <c r="I191" s="6"/>
      <c r="J191" s="6">
        <v>59202.11</v>
      </c>
      <c r="K191" s="6"/>
      <c r="L191" s="6">
        <v>17826.939999999999</v>
      </c>
      <c r="M191" s="6"/>
      <c r="N191" s="6">
        <v>0</v>
      </c>
      <c r="O191" s="6"/>
      <c r="P191" s="6">
        <v>0</v>
      </c>
      <c r="Q191" s="6"/>
      <c r="R191" s="6">
        <v>5678.56</v>
      </c>
      <c r="S191" s="6"/>
      <c r="T191" s="6">
        <v>106377.83</v>
      </c>
      <c r="U191" s="6"/>
      <c r="V191" s="6">
        <v>1179.8399999999999</v>
      </c>
      <c r="W191" s="6"/>
      <c r="X191" s="6">
        <v>51</v>
      </c>
      <c r="Y191" s="6"/>
      <c r="Z191" s="6">
        <v>0</v>
      </c>
      <c r="AA191" s="6"/>
      <c r="AB191" s="6">
        <v>0</v>
      </c>
      <c r="AC191" s="6"/>
      <c r="AD191" s="6">
        <v>0</v>
      </c>
      <c r="AE191" s="6"/>
      <c r="AF191" s="6">
        <v>68.27</v>
      </c>
      <c r="AG191" s="6"/>
      <c r="AH191" s="6">
        <f>SUM(F191:AF191)</f>
        <v>853681.99999999988</v>
      </c>
    </row>
    <row r="192" spans="1:66" s="4" customFormat="1">
      <c r="A192" s="4">
        <v>165</v>
      </c>
      <c r="B192" s="4" t="s">
        <v>197</v>
      </c>
      <c r="D192" s="4" t="s">
        <v>51</v>
      </c>
      <c r="F192" s="6">
        <v>109459.99</v>
      </c>
      <c r="G192" s="6"/>
      <c r="H192" s="6">
        <v>340467.18</v>
      </c>
      <c r="I192" s="6"/>
      <c r="J192" s="6">
        <v>18890.990000000002</v>
      </c>
      <c r="K192" s="6"/>
      <c r="L192" s="6">
        <v>9770.59</v>
      </c>
      <c r="M192" s="6"/>
      <c r="N192" s="6">
        <v>0</v>
      </c>
      <c r="O192" s="6"/>
      <c r="P192" s="6">
        <v>0</v>
      </c>
      <c r="Q192" s="6"/>
      <c r="R192" s="6">
        <v>3446.73</v>
      </c>
      <c r="S192" s="6"/>
      <c r="T192" s="6">
        <v>958.16</v>
      </c>
      <c r="U192" s="6"/>
      <c r="V192" s="6">
        <v>5414.65</v>
      </c>
      <c r="W192" s="6"/>
      <c r="X192" s="6">
        <v>0</v>
      </c>
      <c r="Y192" s="6"/>
      <c r="Z192" s="6">
        <v>0</v>
      </c>
      <c r="AA192" s="6"/>
      <c r="AB192" s="6">
        <v>0</v>
      </c>
      <c r="AC192" s="6"/>
      <c r="AD192" s="6">
        <v>0</v>
      </c>
      <c r="AE192" s="6"/>
      <c r="AF192" s="6">
        <v>0</v>
      </c>
      <c r="AG192" s="6"/>
      <c r="AH192" s="6">
        <f>SUM(F192:AF192)</f>
        <v>488408.29</v>
      </c>
    </row>
    <row r="193" spans="1:66" s="4" customFormat="1">
      <c r="A193" s="4">
        <v>212</v>
      </c>
      <c r="B193" s="4" t="s">
        <v>198</v>
      </c>
      <c r="D193" s="4" t="s">
        <v>23</v>
      </c>
      <c r="F193" s="73">
        <v>6.25</v>
      </c>
      <c r="G193" s="73"/>
      <c r="H193" s="73">
        <v>681814.27</v>
      </c>
      <c r="I193" s="73"/>
      <c r="J193" s="73">
        <v>450</v>
      </c>
      <c r="K193" s="73"/>
      <c r="L193" s="73">
        <v>19951.330000000002</v>
      </c>
      <c r="M193" s="73"/>
      <c r="N193" s="73">
        <v>0</v>
      </c>
      <c r="O193" s="73"/>
      <c r="P193" s="73">
        <v>0</v>
      </c>
      <c r="Q193" s="73"/>
      <c r="R193" s="73">
        <v>4555.13</v>
      </c>
      <c r="S193" s="73"/>
      <c r="T193" s="73">
        <v>270.45999999999998</v>
      </c>
      <c r="U193" s="73"/>
      <c r="V193" s="73">
        <v>2815.2</v>
      </c>
      <c r="W193" s="73"/>
      <c r="X193" s="73">
        <v>0</v>
      </c>
      <c r="Y193" s="73"/>
      <c r="Z193" s="73">
        <v>15000</v>
      </c>
      <c r="AA193" s="73"/>
      <c r="AB193" s="73">
        <v>0</v>
      </c>
      <c r="AC193" s="73"/>
      <c r="AD193" s="73">
        <v>0</v>
      </c>
      <c r="AE193" s="73"/>
      <c r="AF193" s="73">
        <v>0</v>
      </c>
      <c r="AG193" s="73"/>
      <c r="AH193" s="73">
        <f>SUM(F193:AF193)</f>
        <v>724862.6399999999</v>
      </c>
    </row>
    <row r="194" spans="1:66" s="4" customFormat="1">
      <c r="A194" s="4">
        <v>259</v>
      </c>
      <c r="B194" s="4" t="s">
        <v>307</v>
      </c>
      <c r="D194" s="4" t="s">
        <v>61</v>
      </c>
      <c r="F194" s="6">
        <v>77036.19</v>
      </c>
      <c r="G194" s="6"/>
      <c r="H194" s="6">
        <v>207326.83</v>
      </c>
      <c r="I194" s="6"/>
      <c r="J194" s="6">
        <v>12558.64</v>
      </c>
      <c r="K194" s="6"/>
      <c r="L194" s="6">
        <v>7571.79</v>
      </c>
      <c r="M194" s="6"/>
      <c r="N194" s="6">
        <v>0</v>
      </c>
      <c r="O194" s="6"/>
      <c r="P194" s="6">
        <v>0</v>
      </c>
      <c r="Q194" s="6"/>
      <c r="R194" s="6">
        <v>12965.16</v>
      </c>
      <c r="S194" s="6"/>
      <c r="T194" s="6">
        <v>1889.9</v>
      </c>
      <c r="U194" s="6"/>
      <c r="V194" s="6">
        <v>505.24</v>
      </c>
      <c r="W194" s="6"/>
      <c r="X194" s="6">
        <v>0</v>
      </c>
      <c r="Y194" s="6"/>
      <c r="Z194" s="6">
        <v>0</v>
      </c>
      <c r="AA194" s="6"/>
      <c r="AB194" s="6">
        <v>0</v>
      </c>
      <c r="AC194" s="6"/>
      <c r="AD194" s="6">
        <v>0</v>
      </c>
      <c r="AE194" s="6"/>
      <c r="AF194" s="6">
        <v>0</v>
      </c>
      <c r="AG194" s="6"/>
      <c r="AH194" s="6">
        <f>SUM(F194:AF194)</f>
        <v>319853.75</v>
      </c>
    </row>
    <row r="195" spans="1:66" s="4" customFormat="1">
      <c r="A195" s="4">
        <v>168</v>
      </c>
      <c r="B195" s="4" t="s">
        <v>501</v>
      </c>
      <c r="D195" s="4" t="s">
        <v>62</v>
      </c>
      <c r="F195" s="6">
        <v>0</v>
      </c>
      <c r="G195" s="6"/>
      <c r="H195" s="6">
        <v>472091.73</v>
      </c>
      <c r="I195" s="6"/>
      <c r="J195" s="6">
        <v>3090</v>
      </c>
      <c r="K195" s="6"/>
      <c r="L195" s="6">
        <v>14717.81</v>
      </c>
      <c r="M195" s="6"/>
      <c r="N195" s="6">
        <v>0</v>
      </c>
      <c r="O195" s="6"/>
      <c r="P195" s="6">
        <v>0</v>
      </c>
      <c r="Q195" s="6"/>
      <c r="R195" s="6">
        <v>636.02</v>
      </c>
      <c r="S195" s="6"/>
      <c r="T195" s="6">
        <v>215.82</v>
      </c>
      <c r="U195" s="6"/>
      <c r="V195" s="6">
        <v>11339.09</v>
      </c>
      <c r="W195" s="6"/>
      <c r="X195" s="6">
        <v>0</v>
      </c>
      <c r="Y195" s="6"/>
      <c r="Z195" s="6">
        <v>0</v>
      </c>
      <c r="AA195" s="6"/>
      <c r="AB195" s="6">
        <v>0</v>
      </c>
      <c r="AC195" s="6"/>
      <c r="AD195" s="6">
        <v>0</v>
      </c>
      <c r="AE195" s="6"/>
      <c r="AF195" s="6">
        <v>0</v>
      </c>
      <c r="AG195" s="6"/>
      <c r="AH195" s="6">
        <f>SUM(F195:AF195)</f>
        <v>502090.47000000003</v>
      </c>
    </row>
    <row r="196" spans="1:66" s="4" customFormat="1">
      <c r="A196" s="4">
        <v>111</v>
      </c>
      <c r="B196" s="4" t="s">
        <v>200</v>
      </c>
      <c r="D196" s="4" t="s">
        <v>87</v>
      </c>
      <c r="F196" s="1">
        <v>97606</v>
      </c>
      <c r="G196" s="1"/>
      <c r="H196" s="1">
        <v>0</v>
      </c>
      <c r="I196" s="1"/>
      <c r="J196" s="1">
        <v>0</v>
      </c>
      <c r="K196" s="1"/>
      <c r="L196" s="1">
        <v>3743</v>
      </c>
      <c r="M196" s="1"/>
      <c r="N196" s="1">
        <v>0</v>
      </c>
      <c r="O196" s="1"/>
      <c r="P196" s="1">
        <v>0</v>
      </c>
      <c r="Q196" s="1"/>
      <c r="R196" s="1">
        <v>3539</v>
      </c>
      <c r="S196" s="1"/>
      <c r="T196" s="1">
        <v>1262</v>
      </c>
      <c r="U196" s="1"/>
      <c r="V196" s="1">
        <v>2576</v>
      </c>
      <c r="W196" s="1"/>
      <c r="X196" s="1">
        <v>0</v>
      </c>
      <c r="Y196" s="1"/>
      <c r="Z196" s="1">
        <v>0</v>
      </c>
      <c r="AA196" s="1"/>
      <c r="AB196" s="1">
        <v>0</v>
      </c>
      <c r="AC196" s="1"/>
      <c r="AD196" s="1">
        <v>0</v>
      </c>
      <c r="AF196" s="4">
        <v>0</v>
      </c>
      <c r="AH196" s="4">
        <f t="shared" si="6"/>
        <v>108726</v>
      </c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</row>
    <row r="197" spans="1:66" s="4" customFormat="1">
      <c r="A197" s="4">
        <v>248</v>
      </c>
      <c r="B197" s="4" t="s">
        <v>201</v>
      </c>
      <c r="D197" s="4" t="s">
        <v>202</v>
      </c>
      <c r="F197" s="1">
        <v>0</v>
      </c>
      <c r="G197" s="1"/>
      <c r="H197" s="66">
        <v>216083</v>
      </c>
      <c r="I197" s="1"/>
      <c r="J197" s="1">
        <v>0</v>
      </c>
      <c r="K197" s="1"/>
      <c r="L197" s="66">
        <v>9904</v>
      </c>
      <c r="M197" s="1"/>
      <c r="N197" s="1">
        <v>0</v>
      </c>
      <c r="O197" s="1"/>
      <c r="P197" s="1">
        <v>0</v>
      </c>
      <c r="Q197" s="1"/>
      <c r="R197" s="66">
        <v>4590</v>
      </c>
      <c r="S197" s="1"/>
      <c r="T197" s="66">
        <v>4006</v>
      </c>
      <c r="U197" s="1"/>
      <c r="V197" s="66">
        <v>3705</v>
      </c>
      <c r="W197" s="1"/>
      <c r="X197" s="1">
        <v>0</v>
      </c>
      <c r="Y197" s="1"/>
      <c r="Z197" s="1">
        <v>0</v>
      </c>
      <c r="AA197" s="1"/>
      <c r="AB197" s="1">
        <v>0</v>
      </c>
      <c r="AC197" s="1"/>
      <c r="AD197" s="1">
        <v>0</v>
      </c>
      <c r="AF197" s="4">
        <v>0</v>
      </c>
      <c r="AH197" s="4">
        <f t="shared" si="6"/>
        <v>238288</v>
      </c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</row>
    <row r="198" spans="1:66" s="4" customFormat="1">
      <c r="A198" s="4">
        <v>127</v>
      </c>
      <c r="B198" s="4" t="s">
        <v>203</v>
      </c>
      <c r="D198" s="4" t="s">
        <v>13</v>
      </c>
      <c r="F198" s="1">
        <v>1783263</v>
      </c>
      <c r="G198" s="1"/>
      <c r="H198" s="1">
        <v>1326662</v>
      </c>
      <c r="I198" s="1"/>
      <c r="J198" s="1">
        <v>334645</v>
      </c>
      <c r="K198" s="1"/>
      <c r="L198" s="1">
        <v>91987</v>
      </c>
      <c r="M198" s="1"/>
      <c r="N198" s="1">
        <v>0</v>
      </c>
      <c r="O198" s="1"/>
      <c r="P198" s="1">
        <v>0</v>
      </c>
      <c r="Q198" s="1"/>
      <c r="R198" s="1">
        <v>6771</v>
      </c>
      <c r="S198" s="1"/>
      <c r="T198" s="1">
        <v>181800</v>
      </c>
      <c r="U198" s="1"/>
      <c r="V198" s="1">
        <v>9391</v>
      </c>
      <c r="W198" s="1"/>
      <c r="X198" s="1">
        <v>8000</v>
      </c>
      <c r="Y198" s="1"/>
      <c r="Z198" s="1">
        <v>370000</v>
      </c>
      <c r="AA198" s="1"/>
      <c r="AB198" s="1">
        <v>0</v>
      </c>
      <c r="AC198" s="1"/>
      <c r="AD198" s="1">
        <v>0</v>
      </c>
      <c r="AF198" s="4">
        <v>0</v>
      </c>
      <c r="AH198" s="4">
        <f t="shared" si="6"/>
        <v>4112519</v>
      </c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</row>
    <row r="199" spans="1:66" s="4" customFormat="1">
      <c r="A199" s="4">
        <v>175</v>
      </c>
      <c r="B199" s="4" t="s">
        <v>204</v>
      </c>
      <c r="D199" s="4" t="s">
        <v>66</v>
      </c>
      <c r="F199" s="6">
        <v>0</v>
      </c>
      <c r="G199" s="6"/>
      <c r="H199" s="6">
        <v>227715.84</v>
      </c>
      <c r="I199" s="6"/>
      <c r="J199" s="6">
        <v>0</v>
      </c>
      <c r="K199" s="6"/>
      <c r="L199" s="6">
        <v>8004.97</v>
      </c>
      <c r="M199" s="6"/>
      <c r="N199" s="6">
        <v>0</v>
      </c>
      <c r="O199" s="6"/>
      <c r="P199" s="6">
        <v>0</v>
      </c>
      <c r="Q199" s="6"/>
      <c r="R199" s="6">
        <v>4473.53</v>
      </c>
      <c r="S199" s="6"/>
      <c r="T199" s="6">
        <v>994.37</v>
      </c>
      <c r="U199" s="6"/>
      <c r="V199" s="6">
        <v>6168.53</v>
      </c>
      <c r="W199" s="6"/>
      <c r="X199" s="6">
        <v>0</v>
      </c>
      <c r="Y199" s="6"/>
      <c r="Z199" s="6">
        <v>0</v>
      </c>
      <c r="AA199" s="6"/>
      <c r="AB199" s="6">
        <v>0</v>
      </c>
      <c r="AC199" s="6"/>
      <c r="AD199" s="6">
        <v>0</v>
      </c>
      <c r="AE199" s="6"/>
      <c r="AF199" s="6">
        <v>0</v>
      </c>
      <c r="AG199" s="6"/>
      <c r="AH199" s="6">
        <f>SUM(F199:AF199)</f>
        <v>247357.24</v>
      </c>
    </row>
    <row r="200" spans="1:66" s="4" customFormat="1">
      <c r="A200" s="4">
        <v>150</v>
      </c>
      <c r="B200" s="4" t="s">
        <v>205</v>
      </c>
      <c r="D200" s="4" t="s">
        <v>10</v>
      </c>
      <c r="F200" s="6">
        <v>0</v>
      </c>
      <c r="G200" s="6"/>
      <c r="H200" s="6">
        <v>186754.93</v>
      </c>
      <c r="I200" s="6"/>
      <c r="J200" s="6">
        <v>0</v>
      </c>
      <c r="K200" s="6"/>
      <c r="L200" s="6">
        <v>3112.41</v>
      </c>
      <c r="M200" s="6"/>
      <c r="N200" s="6">
        <v>0</v>
      </c>
      <c r="O200" s="6"/>
      <c r="P200" s="6">
        <v>0</v>
      </c>
      <c r="Q200" s="6"/>
      <c r="R200" s="6">
        <v>6546.1</v>
      </c>
      <c r="S200" s="6"/>
      <c r="T200" s="6">
        <v>30.3</v>
      </c>
      <c r="U200" s="6"/>
      <c r="V200" s="6">
        <v>496.07</v>
      </c>
      <c r="W200" s="6"/>
      <c r="X200" s="6">
        <v>0</v>
      </c>
      <c r="Y200" s="6"/>
      <c r="Z200" s="6">
        <v>0</v>
      </c>
      <c r="AA200" s="6"/>
      <c r="AB200" s="6">
        <v>0</v>
      </c>
      <c r="AC200" s="6"/>
      <c r="AD200" s="6">
        <v>0</v>
      </c>
      <c r="AE200" s="6"/>
      <c r="AF200" s="6">
        <v>0</v>
      </c>
      <c r="AG200" s="6"/>
      <c r="AH200" s="6">
        <f>SUM(F200:AF200)</f>
        <v>196939.81</v>
      </c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</row>
    <row r="201" spans="1:66" s="4" customFormat="1">
      <c r="A201" s="4">
        <v>122</v>
      </c>
      <c r="B201" s="4" t="s">
        <v>425</v>
      </c>
      <c r="D201" s="4" t="s">
        <v>14</v>
      </c>
      <c r="F201" s="66">
        <v>1065277</v>
      </c>
      <c r="G201" s="1"/>
      <c r="H201" s="66">
        <v>1262024</v>
      </c>
      <c r="I201" s="1"/>
      <c r="J201" s="66">
        <v>163038</v>
      </c>
      <c r="K201" s="1"/>
      <c r="L201" s="66">
        <v>27888</v>
      </c>
      <c r="M201" s="1"/>
      <c r="N201" s="1">
        <v>0</v>
      </c>
      <c r="O201" s="1"/>
      <c r="P201" s="1">
        <v>0</v>
      </c>
      <c r="Q201" s="1"/>
      <c r="R201" s="1">
        <v>172224</v>
      </c>
      <c r="S201" s="1"/>
      <c r="T201" s="66">
        <v>2289</v>
      </c>
      <c r="U201" s="1"/>
      <c r="V201" s="66">
        <v>24427</v>
      </c>
      <c r="W201" s="1"/>
      <c r="X201" s="1">
        <v>0</v>
      </c>
      <c r="Y201" s="1"/>
      <c r="Z201" s="1">
        <v>310400</v>
      </c>
      <c r="AA201" s="1"/>
      <c r="AB201" s="1">
        <v>0</v>
      </c>
      <c r="AC201" s="1"/>
      <c r="AD201" s="1">
        <v>0</v>
      </c>
      <c r="AF201" s="4">
        <v>0</v>
      </c>
      <c r="AH201" s="4">
        <f t="shared" si="6"/>
        <v>3027567</v>
      </c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</row>
    <row r="202" spans="1:66" s="4" customFormat="1">
      <c r="A202" s="4">
        <v>178</v>
      </c>
      <c r="B202" s="4" t="s">
        <v>593</v>
      </c>
      <c r="D202" s="4" t="s">
        <v>207</v>
      </c>
      <c r="F202" s="1">
        <v>1576607</v>
      </c>
      <c r="G202" s="1"/>
      <c r="H202" s="1">
        <v>0</v>
      </c>
      <c r="I202" s="1"/>
      <c r="J202" s="1">
        <v>2531927</v>
      </c>
      <c r="K202" s="1"/>
      <c r="L202" s="1">
        <v>84599</v>
      </c>
      <c r="M202" s="1"/>
      <c r="N202" s="1">
        <v>0</v>
      </c>
      <c r="O202" s="1"/>
      <c r="P202" s="1">
        <v>11915</v>
      </c>
      <c r="Q202" s="1"/>
      <c r="R202" s="1">
        <v>18036</v>
      </c>
      <c r="S202" s="1"/>
      <c r="T202" s="1">
        <v>74988</v>
      </c>
      <c r="U202" s="1"/>
      <c r="V202" s="1">
        <v>39165</v>
      </c>
      <c r="W202" s="1"/>
      <c r="X202" s="1">
        <v>0</v>
      </c>
      <c r="Y202" s="1"/>
      <c r="Z202" s="1">
        <v>1675</v>
      </c>
      <c r="AA202" s="1"/>
      <c r="AB202" s="1">
        <v>15600</v>
      </c>
      <c r="AC202" s="1"/>
      <c r="AD202" s="1">
        <v>0</v>
      </c>
      <c r="AF202" s="4">
        <v>0</v>
      </c>
      <c r="AH202" s="4">
        <f t="shared" si="6"/>
        <v>4354512</v>
      </c>
    </row>
    <row r="203" spans="1:66" s="4" customFormat="1">
      <c r="A203" s="4">
        <v>105</v>
      </c>
      <c r="B203" s="4" t="s">
        <v>308</v>
      </c>
      <c r="D203" s="4" t="s">
        <v>58</v>
      </c>
      <c r="F203" s="6">
        <v>201932.15</v>
      </c>
      <c r="G203" s="6"/>
      <c r="H203" s="6">
        <v>442824.11</v>
      </c>
      <c r="I203" s="6"/>
      <c r="J203" s="6">
        <v>18685.57</v>
      </c>
      <c r="K203" s="6"/>
      <c r="L203" s="6">
        <v>12138.44</v>
      </c>
      <c r="M203" s="6"/>
      <c r="N203" s="6">
        <v>0</v>
      </c>
      <c r="O203" s="6"/>
      <c r="P203" s="6">
        <v>0</v>
      </c>
      <c r="Q203" s="6"/>
      <c r="R203" s="6">
        <v>1466.99</v>
      </c>
      <c r="S203" s="6"/>
      <c r="T203" s="6">
        <v>4167.0200000000004</v>
      </c>
      <c r="U203" s="6"/>
      <c r="V203" s="6">
        <v>4772.57</v>
      </c>
      <c r="W203" s="6"/>
      <c r="X203" s="6">
        <v>0</v>
      </c>
      <c r="Y203" s="6"/>
      <c r="Z203" s="6">
        <v>100000</v>
      </c>
      <c r="AA203" s="6"/>
      <c r="AB203" s="6">
        <v>0</v>
      </c>
      <c r="AC203" s="6"/>
      <c r="AD203" s="6">
        <v>0</v>
      </c>
      <c r="AE203" s="6"/>
      <c r="AF203" s="6">
        <v>0</v>
      </c>
      <c r="AG203" s="6"/>
      <c r="AH203" s="6">
        <f>SUM(F203:AF203)</f>
        <v>785986.84999999986</v>
      </c>
    </row>
    <row r="204" spans="1:66" s="4" customFormat="1" hidden="1">
      <c r="A204" s="4">
        <v>16</v>
      </c>
      <c r="B204" s="4" t="s">
        <v>454</v>
      </c>
      <c r="D204" s="4" t="s">
        <v>208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H204" s="4">
        <f t="shared" si="6"/>
        <v>0</v>
      </c>
    </row>
    <row r="205" spans="1:66" s="4" customFormat="1" hidden="1">
      <c r="A205" s="4">
        <v>228</v>
      </c>
      <c r="B205" s="4" t="s">
        <v>434</v>
      </c>
      <c r="D205" s="4" t="s">
        <v>54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H205" s="4">
        <f t="shared" si="6"/>
        <v>0</v>
      </c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</row>
    <row r="206" spans="1:66" s="4" customFormat="1">
      <c r="A206" s="4">
        <v>33</v>
      </c>
      <c r="B206" s="4" t="s">
        <v>455</v>
      </c>
      <c r="D206" s="4" t="s">
        <v>112</v>
      </c>
      <c r="F206" s="6">
        <v>0</v>
      </c>
      <c r="G206" s="6"/>
      <c r="H206" s="6">
        <v>468331.17</v>
      </c>
      <c r="I206" s="6"/>
      <c r="J206" s="6">
        <v>0</v>
      </c>
      <c r="K206" s="6"/>
      <c r="L206" s="6">
        <v>9779.4599999999991</v>
      </c>
      <c r="M206" s="6"/>
      <c r="N206" s="6">
        <v>0</v>
      </c>
      <c r="O206" s="6"/>
      <c r="P206" s="6">
        <v>0</v>
      </c>
      <c r="Q206" s="6"/>
      <c r="R206" s="6">
        <v>3725</v>
      </c>
      <c r="S206" s="6"/>
      <c r="T206" s="6">
        <v>208.25</v>
      </c>
      <c r="U206" s="6"/>
      <c r="V206" s="6">
        <v>7982.21</v>
      </c>
      <c r="W206" s="6"/>
      <c r="X206" s="6">
        <v>0</v>
      </c>
      <c r="Y206" s="6"/>
      <c r="Z206" s="6">
        <v>0</v>
      </c>
      <c r="AA206" s="6"/>
      <c r="AB206" s="6">
        <v>0</v>
      </c>
      <c r="AC206" s="6"/>
      <c r="AD206" s="6">
        <v>0</v>
      </c>
      <c r="AE206" s="6"/>
      <c r="AF206" s="6">
        <v>0</v>
      </c>
      <c r="AG206" s="6"/>
      <c r="AH206" s="6">
        <f>SUM(F206:AF206)</f>
        <v>490026.09</v>
      </c>
    </row>
    <row r="207" spans="1:66" s="4" customFormat="1">
      <c r="A207" s="4">
        <v>112</v>
      </c>
      <c r="B207" s="4" t="s">
        <v>337</v>
      </c>
      <c r="D207" s="4" t="s">
        <v>87</v>
      </c>
      <c r="F207" s="1">
        <v>210647</v>
      </c>
      <c r="G207" s="1"/>
      <c r="H207" s="1">
        <v>0</v>
      </c>
      <c r="I207" s="1"/>
      <c r="J207" s="1">
        <v>0</v>
      </c>
      <c r="K207" s="1"/>
      <c r="L207" s="1">
        <v>7118</v>
      </c>
      <c r="M207" s="1"/>
      <c r="N207" s="1">
        <v>0</v>
      </c>
      <c r="O207" s="1"/>
      <c r="P207" s="1">
        <v>0</v>
      </c>
      <c r="Q207" s="1"/>
      <c r="R207" s="1">
        <v>732</v>
      </c>
      <c r="S207" s="1"/>
      <c r="T207" s="1">
        <v>6187</v>
      </c>
      <c r="U207" s="1"/>
      <c r="V207" s="1">
        <f>1597+56</f>
        <v>1653</v>
      </c>
      <c r="W207" s="1"/>
      <c r="X207" s="1">
        <v>0</v>
      </c>
      <c r="Y207" s="1"/>
      <c r="Z207" s="1">
        <v>262571</v>
      </c>
      <c r="AA207" s="1"/>
      <c r="AB207" s="1">
        <v>0</v>
      </c>
      <c r="AC207" s="1"/>
      <c r="AD207" s="1">
        <v>0</v>
      </c>
      <c r="AF207" s="4">
        <v>0</v>
      </c>
      <c r="AH207" s="4">
        <f t="shared" si="6"/>
        <v>488908</v>
      </c>
    </row>
    <row r="208" spans="1:66" s="4" customFormat="1">
      <c r="A208" s="4">
        <v>60</v>
      </c>
      <c r="B208" s="4" t="s">
        <v>209</v>
      </c>
      <c r="D208" s="4" t="s">
        <v>79</v>
      </c>
      <c r="F208" s="6">
        <v>0</v>
      </c>
      <c r="G208" s="6"/>
      <c r="H208" s="6">
        <v>282429.11</v>
      </c>
      <c r="I208" s="6"/>
      <c r="J208" s="6">
        <v>0</v>
      </c>
      <c r="K208" s="6"/>
      <c r="L208" s="6">
        <v>5652.49</v>
      </c>
      <c r="M208" s="6"/>
      <c r="N208" s="6">
        <v>0</v>
      </c>
      <c r="O208" s="6"/>
      <c r="P208" s="6">
        <v>0</v>
      </c>
      <c r="Q208" s="6"/>
      <c r="R208" s="6">
        <v>3555.24</v>
      </c>
      <c r="S208" s="6"/>
      <c r="T208" s="6">
        <v>350.8</v>
      </c>
      <c r="U208" s="6"/>
      <c r="V208" s="6">
        <v>2588.36</v>
      </c>
      <c r="W208" s="6"/>
      <c r="X208" s="6">
        <v>0</v>
      </c>
      <c r="Y208" s="6"/>
      <c r="Z208" s="6">
        <v>0</v>
      </c>
      <c r="AA208" s="6"/>
      <c r="AB208" s="6">
        <v>0</v>
      </c>
      <c r="AC208" s="6"/>
      <c r="AD208" s="6">
        <v>0</v>
      </c>
      <c r="AE208" s="6"/>
      <c r="AF208" s="6">
        <v>0</v>
      </c>
      <c r="AG208" s="6"/>
      <c r="AH208" s="6">
        <f>SUM(F208:AF208)</f>
        <v>294575.99999999994</v>
      </c>
    </row>
    <row r="209" spans="1:66" s="4" customFormat="1">
      <c r="A209" s="4">
        <v>186</v>
      </c>
      <c r="B209" s="4" t="s">
        <v>456</v>
      </c>
      <c r="D209" s="4" t="s">
        <v>64</v>
      </c>
      <c r="F209" s="6">
        <v>0</v>
      </c>
      <c r="G209" s="6"/>
      <c r="H209" s="6">
        <v>97951.86</v>
      </c>
      <c r="I209" s="6"/>
      <c r="J209" s="6">
        <v>0</v>
      </c>
      <c r="K209" s="6"/>
      <c r="L209" s="6">
        <v>1188.21</v>
      </c>
      <c r="M209" s="6"/>
      <c r="N209" s="6">
        <v>0</v>
      </c>
      <c r="O209" s="6"/>
      <c r="P209" s="6">
        <v>0</v>
      </c>
      <c r="Q209" s="6"/>
      <c r="R209" s="6">
        <v>304.26</v>
      </c>
      <c r="S209" s="6"/>
      <c r="T209" s="6">
        <v>0</v>
      </c>
      <c r="U209" s="6"/>
      <c r="V209" s="6">
        <v>5234.2</v>
      </c>
      <c r="W209" s="6"/>
      <c r="X209" s="6">
        <v>122.8</v>
      </c>
      <c r="Y209" s="6"/>
      <c r="Z209" s="6">
        <v>0</v>
      </c>
      <c r="AA209" s="6"/>
      <c r="AB209" s="6">
        <v>0</v>
      </c>
      <c r="AC209" s="6"/>
      <c r="AD209" s="6">
        <v>0</v>
      </c>
      <c r="AE209" s="6"/>
      <c r="AF209" s="6">
        <v>0</v>
      </c>
      <c r="AG209" s="6"/>
      <c r="AH209" s="6">
        <f>SUM(F209:AF209)</f>
        <v>104801.33</v>
      </c>
    </row>
    <row r="210" spans="1:66" s="4" customFormat="1">
      <c r="A210" s="4">
        <v>235</v>
      </c>
      <c r="B210" s="4" t="s">
        <v>210</v>
      </c>
      <c r="D210" s="4" t="s">
        <v>24</v>
      </c>
      <c r="F210" s="6">
        <v>40042.559999999998</v>
      </c>
      <c r="G210" s="6"/>
      <c r="H210" s="6">
        <v>241186.38</v>
      </c>
      <c r="I210" s="6"/>
      <c r="J210" s="6">
        <v>12976.85</v>
      </c>
      <c r="K210" s="6"/>
      <c r="L210" s="6">
        <v>8348.6200000000008</v>
      </c>
      <c r="M210" s="6"/>
      <c r="N210" s="6">
        <v>0</v>
      </c>
      <c r="O210" s="6"/>
      <c r="P210" s="6">
        <v>0</v>
      </c>
      <c r="Q210" s="6"/>
      <c r="R210" s="6">
        <v>6963.61</v>
      </c>
      <c r="S210" s="6"/>
      <c r="T210" s="6">
        <v>75.38</v>
      </c>
      <c r="U210" s="6"/>
      <c r="V210" s="6">
        <v>499.05</v>
      </c>
      <c r="W210" s="6"/>
      <c r="X210" s="6">
        <v>1891</v>
      </c>
      <c r="Y210" s="6"/>
      <c r="Z210" s="6">
        <v>44767.73</v>
      </c>
      <c r="AA210" s="6"/>
      <c r="AB210" s="6">
        <v>0</v>
      </c>
      <c r="AC210" s="6"/>
      <c r="AD210" s="6">
        <v>12815</v>
      </c>
      <c r="AE210" s="6"/>
      <c r="AF210" s="6">
        <v>0</v>
      </c>
      <c r="AG210" s="6"/>
      <c r="AH210" s="6">
        <f>SUM(F210:AF210)</f>
        <v>369566.17999999993</v>
      </c>
    </row>
    <row r="211" spans="1:66" s="4" customFormat="1">
      <c r="A211" s="4">
        <v>229</v>
      </c>
      <c r="B211" s="4" t="s">
        <v>211</v>
      </c>
      <c r="D211" s="4" t="s">
        <v>54</v>
      </c>
      <c r="F211" s="1">
        <v>106213</v>
      </c>
      <c r="G211" s="1"/>
      <c r="H211" s="1">
        <v>510479</v>
      </c>
      <c r="I211" s="1"/>
      <c r="J211" s="1">
        <v>15329</v>
      </c>
      <c r="K211" s="1"/>
      <c r="L211" s="1">
        <v>9011</v>
      </c>
      <c r="M211" s="1"/>
      <c r="N211" s="1">
        <v>0</v>
      </c>
      <c r="O211" s="1"/>
      <c r="P211" s="1">
        <v>0</v>
      </c>
      <c r="Q211" s="1"/>
      <c r="R211" s="1">
        <v>3541</v>
      </c>
      <c r="S211" s="1"/>
      <c r="T211" s="1">
        <v>4477</v>
      </c>
      <c r="U211" s="1"/>
      <c r="V211" s="1">
        <v>115</v>
      </c>
      <c r="W211" s="1"/>
      <c r="X211" s="1">
        <v>0</v>
      </c>
      <c r="Y211" s="1"/>
      <c r="Z211" s="1">
        <v>0</v>
      </c>
      <c r="AA211" s="1"/>
      <c r="AB211" s="1">
        <v>0</v>
      </c>
      <c r="AC211" s="1"/>
      <c r="AD211" s="1">
        <v>0</v>
      </c>
      <c r="AF211" s="4">
        <v>0</v>
      </c>
      <c r="AH211" s="4">
        <f t="shared" ref="AH211:AH243" si="7">SUM(F211:AD211)</f>
        <v>649165</v>
      </c>
    </row>
    <row r="212" spans="1:66" s="4" customFormat="1">
      <c r="A212" s="4">
        <v>85</v>
      </c>
      <c r="B212" s="4" t="s">
        <v>214</v>
      </c>
      <c r="D212" s="4" t="s">
        <v>40</v>
      </c>
      <c r="F212" s="6">
        <v>27652.63</v>
      </c>
      <c r="G212" s="6"/>
      <c r="H212" s="6">
        <v>124370.94</v>
      </c>
      <c r="I212" s="6"/>
      <c r="J212" s="6">
        <v>1736.8</v>
      </c>
      <c r="K212" s="6"/>
      <c r="L212" s="6">
        <v>3472.94</v>
      </c>
      <c r="M212" s="6"/>
      <c r="N212" s="6">
        <v>0</v>
      </c>
      <c r="O212" s="6"/>
      <c r="P212" s="6">
        <v>0</v>
      </c>
      <c r="Q212" s="6"/>
      <c r="R212" s="6">
        <v>1786.1</v>
      </c>
      <c r="S212" s="6"/>
      <c r="T212" s="6">
        <v>122.44</v>
      </c>
      <c r="U212" s="6"/>
      <c r="V212" s="6">
        <v>45.1</v>
      </c>
      <c r="W212" s="6"/>
      <c r="X212" s="6">
        <v>312.32</v>
      </c>
      <c r="Y212" s="6"/>
      <c r="Z212" s="6">
        <v>0</v>
      </c>
      <c r="AA212" s="6"/>
      <c r="AB212" s="6">
        <v>0</v>
      </c>
      <c r="AC212" s="6"/>
      <c r="AD212" s="6">
        <v>0</v>
      </c>
      <c r="AE212" s="6"/>
      <c r="AF212" s="6">
        <v>0</v>
      </c>
      <c r="AG212" s="6"/>
      <c r="AH212" s="6">
        <f>SUM(F212:AF212)</f>
        <v>159499.27000000002</v>
      </c>
    </row>
    <row r="213" spans="1:66" s="4" customFormat="1">
      <c r="A213" s="4">
        <v>250</v>
      </c>
      <c r="B213" s="4" t="s">
        <v>215</v>
      </c>
      <c r="D213" s="4" t="s">
        <v>63</v>
      </c>
      <c r="F213" s="6">
        <v>124758.03</v>
      </c>
      <c r="G213" s="6"/>
      <c r="H213" s="6">
        <v>309552.49</v>
      </c>
      <c r="I213" s="6"/>
      <c r="J213" s="6">
        <v>15220.09</v>
      </c>
      <c r="K213" s="6"/>
      <c r="L213" s="6">
        <v>8574.81</v>
      </c>
      <c r="M213" s="6"/>
      <c r="N213" s="6">
        <v>0</v>
      </c>
      <c r="O213" s="6"/>
      <c r="P213" s="6">
        <v>0</v>
      </c>
      <c r="Q213" s="6"/>
      <c r="R213" s="6">
        <v>6366.27</v>
      </c>
      <c r="S213" s="6"/>
      <c r="T213" s="6">
        <v>894.74</v>
      </c>
      <c r="U213" s="6"/>
      <c r="V213" s="6">
        <v>2874.1</v>
      </c>
      <c r="W213" s="6"/>
      <c r="X213" s="6">
        <v>0</v>
      </c>
      <c r="Y213" s="6"/>
      <c r="Z213" s="6">
        <v>0</v>
      </c>
      <c r="AA213" s="6"/>
      <c r="AB213" s="6">
        <v>0</v>
      </c>
      <c r="AC213" s="6"/>
      <c r="AD213" s="6">
        <v>0</v>
      </c>
      <c r="AE213" s="6"/>
      <c r="AF213" s="6">
        <v>0</v>
      </c>
      <c r="AG213" s="6"/>
      <c r="AH213" s="6">
        <f>SUM(F213:AF213)</f>
        <v>468240.53</v>
      </c>
    </row>
    <row r="214" spans="1:66" s="4" customFormat="1">
      <c r="A214" s="4">
        <v>213</v>
      </c>
      <c r="B214" s="4" t="s">
        <v>216</v>
      </c>
      <c r="D214" s="4" t="s">
        <v>23</v>
      </c>
      <c r="F214" s="1">
        <v>737338</v>
      </c>
      <c r="G214" s="1"/>
      <c r="H214" s="1">
        <v>1226421</v>
      </c>
      <c r="I214" s="1"/>
      <c r="J214" s="1">
        <v>124108</v>
      </c>
      <c r="K214" s="1"/>
      <c r="L214" s="1">
        <v>82738</v>
      </c>
      <c r="M214" s="1"/>
      <c r="N214" s="1">
        <v>0</v>
      </c>
      <c r="O214" s="1"/>
      <c r="P214" s="1">
        <v>0</v>
      </c>
      <c r="Q214" s="1"/>
      <c r="R214" s="1">
        <v>66323</v>
      </c>
      <c r="S214" s="1"/>
      <c r="T214" s="1">
        <v>659</v>
      </c>
      <c r="U214" s="1"/>
      <c r="V214" s="1">
        <v>606</v>
      </c>
      <c r="W214" s="1"/>
      <c r="X214" s="1">
        <v>0</v>
      </c>
      <c r="Y214" s="1"/>
      <c r="Z214" s="1">
        <v>250000</v>
      </c>
      <c r="AA214" s="1"/>
      <c r="AB214" s="1">
        <v>0</v>
      </c>
      <c r="AC214" s="1"/>
      <c r="AD214" s="1">
        <v>0</v>
      </c>
      <c r="AF214" s="4">
        <v>0</v>
      </c>
      <c r="AH214" s="4">
        <f t="shared" si="7"/>
        <v>2488193</v>
      </c>
    </row>
    <row r="215" spans="1:66" s="4" customFormat="1">
      <c r="B215" s="3" t="s">
        <v>607</v>
      </c>
      <c r="C215" s="3"/>
      <c r="D215" s="3" t="s">
        <v>54</v>
      </c>
      <c r="F215" s="1">
        <v>0</v>
      </c>
      <c r="G215" s="1"/>
      <c r="H215" s="1">
        <v>0</v>
      </c>
      <c r="I215" s="1"/>
      <c r="J215" s="1">
        <v>678965</v>
      </c>
      <c r="K215" s="1"/>
      <c r="L215" s="1">
        <v>332890</v>
      </c>
      <c r="M215" s="1"/>
      <c r="N215" s="1">
        <v>0</v>
      </c>
      <c r="O215" s="1"/>
      <c r="P215" s="1">
        <v>0</v>
      </c>
      <c r="Q215" s="1"/>
      <c r="R215" s="1">
        <v>0</v>
      </c>
      <c r="S215" s="1"/>
      <c r="T215" s="1">
        <v>19045</v>
      </c>
      <c r="U215" s="1"/>
      <c r="V215" s="1">
        <v>1800247</v>
      </c>
      <c r="W215" s="1"/>
      <c r="X215" s="1">
        <v>0</v>
      </c>
      <c r="Y215" s="1"/>
      <c r="Z215" s="1">
        <v>0</v>
      </c>
      <c r="AA215" s="1"/>
      <c r="AB215" s="1">
        <v>0</v>
      </c>
      <c r="AC215" s="1"/>
      <c r="AD215" s="1">
        <v>0</v>
      </c>
      <c r="AF215" s="4">
        <v>0</v>
      </c>
      <c r="AH215" s="4">
        <f t="shared" si="7"/>
        <v>2831147</v>
      </c>
    </row>
    <row r="216" spans="1:66" s="4" customFormat="1">
      <c r="A216" s="4">
        <v>251</v>
      </c>
      <c r="B216" s="4" t="s">
        <v>436</v>
      </c>
      <c r="D216" s="4" t="s">
        <v>63</v>
      </c>
      <c r="F216" s="1">
        <v>0</v>
      </c>
      <c r="G216" s="1"/>
      <c r="H216" s="1">
        <v>0</v>
      </c>
      <c r="I216" s="1"/>
      <c r="J216" s="1">
        <v>145617</v>
      </c>
      <c r="K216" s="1"/>
      <c r="L216" s="1">
        <v>0</v>
      </c>
      <c r="M216" s="1"/>
      <c r="N216" s="1">
        <v>0</v>
      </c>
      <c r="O216" s="1"/>
      <c r="P216" s="1">
        <v>85058</v>
      </c>
      <c r="Q216" s="1"/>
      <c r="R216" s="1">
        <v>0</v>
      </c>
      <c r="S216" s="1"/>
      <c r="T216" s="1">
        <v>116</v>
      </c>
      <c r="U216" s="1"/>
      <c r="V216" s="1">
        <v>0</v>
      </c>
      <c r="W216" s="1"/>
      <c r="X216" s="1">
        <v>0</v>
      </c>
      <c r="Y216" s="1"/>
      <c r="Z216" s="1">
        <v>48622</v>
      </c>
      <c r="AA216" s="1"/>
      <c r="AB216" s="1">
        <v>0</v>
      </c>
      <c r="AC216" s="1"/>
      <c r="AD216" s="1">
        <v>0</v>
      </c>
      <c r="AF216" s="4">
        <v>0</v>
      </c>
      <c r="AH216" s="4">
        <f t="shared" si="7"/>
        <v>279413</v>
      </c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</row>
    <row r="217" spans="1:66" s="4" customFormat="1">
      <c r="A217" s="4">
        <v>113</v>
      </c>
      <c r="B217" s="4" t="s">
        <v>217</v>
      </c>
      <c r="D217" s="4" t="s">
        <v>87</v>
      </c>
      <c r="F217" s="73">
        <v>136943.04999999999</v>
      </c>
      <c r="G217" s="73"/>
      <c r="H217" s="73">
        <v>571582.11</v>
      </c>
      <c r="I217" s="73"/>
      <c r="J217" s="73">
        <v>33830.18</v>
      </c>
      <c r="K217" s="73"/>
      <c r="L217" s="73">
        <v>21948.52</v>
      </c>
      <c r="M217" s="73"/>
      <c r="N217" s="73">
        <v>0</v>
      </c>
      <c r="O217" s="73"/>
      <c r="P217" s="73">
        <v>0</v>
      </c>
      <c r="Q217" s="73"/>
      <c r="R217" s="73">
        <v>43934.28</v>
      </c>
      <c r="S217" s="73"/>
      <c r="T217" s="73">
        <v>5768.13</v>
      </c>
      <c r="U217" s="73"/>
      <c r="V217" s="73">
        <v>30580.41</v>
      </c>
      <c r="W217" s="73"/>
      <c r="X217" s="73">
        <v>0</v>
      </c>
      <c r="Y217" s="73"/>
      <c r="Z217" s="73">
        <v>125000</v>
      </c>
      <c r="AA217" s="73"/>
      <c r="AB217" s="73">
        <v>0</v>
      </c>
      <c r="AC217" s="73"/>
      <c r="AD217" s="73">
        <v>0</v>
      </c>
      <c r="AE217" s="73"/>
      <c r="AF217" s="73">
        <v>0</v>
      </c>
      <c r="AG217" s="73"/>
      <c r="AH217" s="73">
        <f>SUM(F217:AF217)</f>
        <v>969586.68</v>
      </c>
    </row>
    <row r="218" spans="1:66" s="4" customFormat="1">
      <c r="A218" s="4">
        <v>183</v>
      </c>
      <c r="B218" s="4" t="s">
        <v>218</v>
      </c>
      <c r="D218" s="4" t="s">
        <v>156</v>
      </c>
      <c r="F218" s="1">
        <v>249765</v>
      </c>
      <c r="G218" s="1"/>
      <c r="H218" s="1">
        <v>0</v>
      </c>
      <c r="I218" s="1"/>
      <c r="J218" s="1">
        <v>750</v>
      </c>
      <c r="K218" s="1"/>
      <c r="L218" s="1">
        <v>10823</v>
      </c>
      <c r="M218" s="1"/>
      <c r="N218" s="1">
        <v>0</v>
      </c>
      <c r="O218" s="1"/>
      <c r="P218" s="1">
        <v>0</v>
      </c>
      <c r="Q218" s="1"/>
      <c r="R218" s="1">
        <v>1721</v>
      </c>
      <c r="S218" s="1"/>
      <c r="T218" s="1">
        <v>741</v>
      </c>
      <c r="U218" s="1"/>
      <c r="V218" s="1">
        <v>5457</v>
      </c>
      <c r="W218" s="1"/>
      <c r="X218" s="1">
        <v>0</v>
      </c>
      <c r="Y218" s="1"/>
      <c r="Z218" s="1">
        <v>0</v>
      </c>
      <c r="AA218" s="1"/>
      <c r="AB218" s="1">
        <v>0</v>
      </c>
      <c r="AC218" s="1"/>
      <c r="AD218" s="1">
        <v>0</v>
      </c>
      <c r="AF218" s="4">
        <v>0</v>
      </c>
      <c r="AH218" s="4">
        <f t="shared" si="7"/>
        <v>269257</v>
      </c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</row>
    <row r="219" spans="1:66" s="4" customFormat="1" hidden="1">
      <c r="A219" s="4">
        <v>116</v>
      </c>
      <c r="B219" s="4" t="s">
        <v>219</v>
      </c>
      <c r="D219" s="4" t="s">
        <v>168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H219" s="4">
        <f t="shared" si="7"/>
        <v>0</v>
      </c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</row>
    <row r="220" spans="1:66" s="4" customFormat="1">
      <c r="A220" s="4">
        <v>146</v>
      </c>
      <c r="B220" s="4" t="s">
        <v>457</v>
      </c>
      <c r="D220" s="4" t="s">
        <v>55</v>
      </c>
      <c r="F220" s="73">
        <v>790347.65</v>
      </c>
      <c r="G220" s="73"/>
      <c r="H220" s="73">
        <v>315216.88</v>
      </c>
      <c r="I220" s="73"/>
      <c r="J220" s="73">
        <v>99756.479999999996</v>
      </c>
      <c r="K220" s="73"/>
      <c r="L220" s="73">
        <v>29982.41</v>
      </c>
      <c r="M220" s="73"/>
      <c r="N220" s="73">
        <v>0</v>
      </c>
      <c r="O220" s="73"/>
      <c r="P220" s="73">
        <v>0</v>
      </c>
      <c r="Q220" s="73"/>
      <c r="R220" s="73">
        <v>13223.78</v>
      </c>
      <c r="S220" s="73"/>
      <c r="T220" s="73">
        <v>374.27</v>
      </c>
      <c r="U220" s="73"/>
      <c r="V220" s="73">
        <v>4596.7700000000004</v>
      </c>
      <c r="W220" s="73"/>
      <c r="X220" s="73">
        <v>0</v>
      </c>
      <c r="Y220" s="73"/>
      <c r="Z220" s="73">
        <v>100000</v>
      </c>
      <c r="AA220" s="73"/>
      <c r="AB220" s="73">
        <v>0</v>
      </c>
      <c r="AC220" s="73"/>
      <c r="AD220" s="73">
        <v>0</v>
      </c>
      <c r="AE220" s="73"/>
      <c r="AF220" s="73">
        <v>0</v>
      </c>
      <c r="AG220" s="73"/>
      <c r="AH220" s="73">
        <f>SUM(F220:AF220)</f>
        <v>1353498.24</v>
      </c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</row>
    <row r="221" spans="1:66" s="28" customFormat="1">
      <c r="A221" s="4">
        <v>246</v>
      </c>
      <c r="B221" s="4" t="s">
        <v>222</v>
      </c>
      <c r="C221" s="4"/>
      <c r="D221" s="4" t="s">
        <v>223</v>
      </c>
      <c r="E221" s="4"/>
      <c r="F221" s="1">
        <v>322868</v>
      </c>
      <c r="G221" s="1"/>
      <c r="H221" s="1">
        <v>538615</v>
      </c>
      <c r="I221" s="1"/>
      <c r="J221" s="1">
        <v>41019</v>
      </c>
      <c r="K221" s="1"/>
      <c r="L221" s="1">
        <v>36702</v>
      </c>
      <c r="M221" s="1"/>
      <c r="N221" s="1">
        <v>0</v>
      </c>
      <c r="O221" s="1"/>
      <c r="P221" s="1">
        <v>0</v>
      </c>
      <c r="Q221" s="1"/>
      <c r="R221" s="1">
        <v>21836</v>
      </c>
      <c r="S221" s="1"/>
      <c r="T221" s="1">
        <v>5097</v>
      </c>
      <c r="U221" s="1"/>
      <c r="V221" s="1">
        <v>180</v>
      </c>
      <c r="W221" s="1"/>
      <c r="X221" s="1">
        <v>0</v>
      </c>
      <c r="Y221" s="1"/>
      <c r="Z221" s="1">
        <v>0</v>
      </c>
      <c r="AA221" s="1"/>
      <c r="AB221" s="1">
        <v>0</v>
      </c>
      <c r="AC221" s="1"/>
      <c r="AD221" s="1">
        <v>0</v>
      </c>
      <c r="AE221" s="4"/>
      <c r="AF221" s="4">
        <v>0</v>
      </c>
      <c r="AG221" s="4"/>
      <c r="AH221" s="4">
        <f t="shared" si="7"/>
        <v>966317</v>
      </c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</row>
    <row r="222" spans="1:66" s="4" customFormat="1">
      <c r="A222" s="4">
        <v>136</v>
      </c>
      <c r="B222" s="4" t="s">
        <v>224</v>
      </c>
      <c r="D222" s="4" t="s">
        <v>39</v>
      </c>
      <c r="F222" s="6">
        <v>245914.55</v>
      </c>
      <c r="G222" s="6"/>
      <c r="H222" s="6">
        <v>499660.42</v>
      </c>
      <c r="I222" s="6"/>
      <c r="J222" s="6">
        <v>34771.39</v>
      </c>
      <c r="K222" s="6"/>
      <c r="L222" s="6">
        <v>21881.78</v>
      </c>
      <c r="M222" s="6"/>
      <c r="N222" s="6">
        <v>0</v>
      </c>
      <c r="O222" s="6"/>
      <c r="P222" s="6">
        <v>0</v>
      </c>
      <c r="Q222" s="6"/>
      <c r="R222" s="6">
        <v>5719.57</v>
      </c>
      <c r="S222" s="6"/>
      <c r="T222" s="6">
        <v>2822.92</v>
      </c>
      <c r="U222" s="6"/>
      <c r="V222" s="6">
        <v>13572.83</v>
      </c>
      <c r="W222" s="6"/>
      <c r="X222" s="6">
        <v>0</v>
      </c>
      <c r="Y222" s="6"/>
      <c r="Z222" s="6">
        <v>0</v>
      </c>
      <c r="AA222" s="6"/>
      <c r="AB222" s="6">
        <v>0</v>
      </c>
      <c r="AC222" s="6"/>
      <c r="AD222" s="6">
        <v>0</v>
      </c>
      <c r="AE222" s="6"/>
      <c r="AF222" s="6">
        <v>0</v>
      </c>
      <c r="AG222" s="6"/>
      <c r="AH222" s="6">
        <f t="shared" ref="AH222:AH227" si="8">SUM(F222:AF222)</f>
        <v>824343.46</v>
      </c>
    </row>
    <row r="223" spans="1:66" s="4" customFormat="1">
      <c r="A223" s="4">
        <v>106</v>
      </c>
      <c r="B223" s="4" t="s">
        <v>458</v>
      </c>
      <c r="D223" s="4" t="s">
        <v>58</v>
      </c>
      <c r="F223" s="73">
        <v>26547.51</v>
      </c>
      <c r="G223" s="73"/>
      <c r="H223" s="73">
        <v>186161.43</v>
      </c>
      <c r="I223" s="73"/>
      <c r="J223" s="73">
        <v>0</v>
      </c>
      <c r="K223" s="73"/>
      <c r="L223" s="73">
        <v>3052.24</v>
      </c>
      <c r="M223" s="73"/>
      <c r="N223" s="73">
        <v>0</v>
      </c>
      <c r="O223" s="73"/>
      <c r="P223" s="73">
        <v>0</v>
      </c>
      <c r="Q223" s="73"/>
      <c r="R223" s="73">
        <v>6121.94</v>
      </c>
      <c r="S223" s="73"/>
      <c r="T223" s="73">
        <v>3038.28</v>
      </c>
      <c r="U223" s="73"/>
      <c r="V223" s="73">
        <v>2343.94</v>
      </c>
      <c r="W223" s="73"/>
      <c r="X223" s="73">
        <v>5</v>
      </c>
      <c r="Y223" s="73"/>
      <c r="Z223" s="73">
        <v>0</v>
      </c>
      <c r="AA223" s="73"/>
      <c r="AB223" s="73">
        <v>0</v>
      </c>
      <c r="AC223" s="73"/>
      <c r="AD223" s="73">
        <v>0</v>
      </c>
      <c r="AE223" s="73"/>
      <c r="AF223" s="73">
        <v>0</v>
      </c>
      <c r="AG223" s="73"/>
      <c r="AH223" s="73">
        <f t="shared" si="8"/>
        <v>227270.34</v>
      </c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</row>
    <row r="224" spans="1:66" s="4" customFormat="1">
      <c r="A224" s="4">
        <v>184</v>
      </c>
      <c r="B224" s="4" t="s">
        <v>226</v>
      </c>
      <c r="D224" s="4" t="s">
        <v>227</v>
      </c>
      <c r="F224" s="6">
        <v>584897.18000000005</v>
      </c>
      <c r="G224" s="6"/>
      <c r="H224" s="6">
        <v>598249.07999999996</v>
      </c>
      <c r="I224" s="6"/>
      <c r="J224" s="6">
        <v>93515.62</v>
      </c>
      <c r="K224" s="6"/>
      <c r="L224" s="6">
        <v>25608.71</v>
      </c>
      <c r="M224" s="6"/>
      <c r="N224" s="6">
        <v>0</v>
      </c>
      <c r="O224" s="6"/>
      <c r="P224" s="6">
        <v>0</v>
      </c>
      <c r="Q224" s="6"/>
      <c r="R224" s="6">
        <v>2231.8200000000002</v>
      </c>
      <c r="S224" s="6"/>
      <c r="T224" s="6">
        <v>14759.53</v>
      </c>
      <c r="U224" s="6"/>
      <c r="V224" s="6">
        <v>8446.49</v>
      </c>
      <c r="W224" s="6"/>
      <c r="X224" s="6">
        <v>0</v>
      </c>
      <c r="Y224" s="6"/>
      <c r="Z224" s="6">
        <v>0</v>
      </c>
      <c r="AA224" s="6"/>
      <c r="AB224" s="6">
        <v>0</v>
      </c>
      <c r="AC224" s="6"/>
      <c r="AD224" s="6">
        <v>0</v>
      </c>
      <c r="AE224" s="6"/>
      <c r="AF224" s="6">
        <v>0</v>
      </c>
      <c r="AG224" s="6"/>
      <c r="AH224" s="6">
        <f t="shared" si="8"/>
        <v>1327708.43</v>
      </c>
    </row>
    <row r="225" spans="1:66" s="4" customFormat="1">
      <c r="A225" s="4">
        <v>252</v>
      </c>
      <c r="B225" s="4" t="s">
        <v>229</v>
      </c>
      <c r="D225" s="4" t="s">
        <v>63</v>
      </c>
      <c r="F225" s="6">
        <v>0</v>
      </c>
      <c r="G225" s="6"/>
      <c r="H225" s="6">
        <v>305885.17</v>
      </c>
      <c r="I225" s="6"/>
      <c r="J225" s="6">
        <v>0</v>
      </c>
      <c r="K225" s="6"/>
      <c r="L225" s="6">
        <v>9001.7000000000007</v>
      </c>
      <c r="M225" s="6"/>
      <c r="N225" s="6">
        <v>0</v>
      </c>
      <c r="O225" s="6"/>
      <c r="P225" s="6">
        <v>0</v>
      </c>
      <c r="Q225" s="6"/>
      <c r="R225" s="6">
        <v>6558.34</v>
      </c>
      <c r="S225" s="6"/>
      <c r="T225" s="6">
        <v>14637.85</v>
      </c>
      <c r="U225" s="6"/>
      <c r="V225" s="6">
        <v>3382.75</v>
      </c>
      <c r="W225" s="6"/>
      <c r="X225" s="6">
        <v>0</v>
      </c>
      <c r="Y225" s="6"/>
      <c r="Z225" s="6">
        <v>0</v>
      </c>
      <c r="AA225" s="6"/>
      <c r="AB225" s="6">
        <v>0</v>
      </c>
      <c r="AC225" s="6"/>
      <c r="AD225" s="6">
        <v>0</v>
      </c>
      <c r="AE225" s="6"/>
      <c r="AF225" s="6">
        <v>0</v>
      </c>
      <c r="AG225" s="6"/>
      <c r="AH225" s="6">
        <f t="shared" si="8"/>
        <v>339465.81</v>
      </c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</row>
    <row r="226" spans="1:66" s="4" customFormat="1">
      <c r="A226" s="4">
        <v>219</v>
      </c>
      <c r="B226" s="4" t="s">
        <v>230</v>
      </c>
      <c r="D226" s="4" t="s">
        <v>20</v>
      </c>
      <c r="F226" s="6">
        <v>76129.289999999994</v>
      </c>
      <c r="G226" s="6"/>
      <c r="H226" s="6">
        <v>308115.48</v>
      </c>
      <c r="I226" s="6"/>
      <c r="J226" s="6">
        <v>10694.75</v>
      </c>
      <c r="K226" s="6"/>
      <c r="L226" s="6">
        <v>4424.68</v>
      </c>
      <c r="M226" s="6"/>
      <c r="N226" s="6">
        <v>0</v>
      </c>
      <c r="O226" s="6"/>
      <c r="P226" s="6">
        <v>0</v>
      </c>
      <c r="Q226" s="6"/>
      <c r="R226" s="6">
        <v>0</v>
      </c>
      <c r="S226" s="6"/>
      <c r="T226" s="6">
        <v>54.85</v>
      </c>
      <c r="U226" s="6"/>
      <c r="V226" s="6">
        <v>3695.3</v>
      </c>
      <c r="W226" s="6"/>
      <c r="X226" s="6">
        <v>0</v>
      </c>
      <c r="Y226" s="6"/>
      <c r="Z226" s="6">
        <v>0</v>
      </c>
      <c r="AA226" s="6"/>
      <c r="AB226" s="6">
        <v>0</v>
      </c>
      <c r="AC226" s="6"/>
      <c r="AD226" s="6">
        <v>0</v>
      </c>
      <c r="AE226" s="6"/>
      <c r="AF226" s="6">
        <v>0</v>
      </c>
      <c r="AG226" s="6"/>
      <c r="AH226" s="6">
        <f t="shared" si="8"/>
        <v>403114.34999999992</v>
      </c>
    </row>
    <row r="227" spans="1:66" s="4" customFormat="1">
      <c r="A227" s="4">
        <v>187</v>
      </c>
      <c r="B227" s="4" t="s">
        <v>594</v>
      </c>
      <c r="D227" s="4" t="s">
        <v>64</v>
      </c>
      <c r="F227" s="6">
        <v>624347.1</v>
      </c>
      <c r="G227" s="6"/>
      <c r="H227" s="6">
        <v>881566.4</v>
      </c>
      <c r="I227" s="6"/>
      <c r="J227" s="6">
        <v>94376.52</v>
      </c>
      <c r="K227" s="6"/>
      <c r="L227" s="6">
        <v>32954.660000000003</v>
      </c>
      <c r="M227" s="6"/>
      <c r="N227" s="6">
        <v>0</v>
      </c>
      <c r="O227" s="6"/>
      <c r="P227" s="6">
        <v>0</v>
      </c>
      <c r="Q227" s="6"/>
      <c r="R227" s="6">
        <v>3046.37</v>
      </c>
      <c r="S227" s="6"/>
      <c r="T227" s="6">
        <v>1283.69</v>
      </c>
      <c r="U227" s="6"/>
      <c r="V227" s="6">
        <v>44833</v>
      </c>
      <c r="W227" s="6"/>
      <c r="X227" s="6">
        <v>851.25</v>
      </c>
      <c r="Y227" s="6"/>
      <c r="Z227" s="6">
        <v>400000</v>
      </c>
      <c r="AA227" s="6"/>
      <c r="AB227" s="6">
        <v>0</v>
      </c>
      <c r="AC227" s="6"/>
      <c r="AD227" s="6">
        <v>0</v>
      </c>
      <c r="AE227" s="6"/>
      <c r="AF227" s="6">
        <v>0</v>
      </c>
      <c r="AG227" s="6"/>
      <c r="AH227" s="6">
        <f t="shared" si="8"/>
        <v>2083258.99</v>
      </c>
    </row>
    <row r="228" spans="1:66" s="4" customFormat="1">
      <c r="A228" s="4">
        <v>176</v>
      </c>
      <c r="B228" s="4" t="s">
        <v>231</v>
      </c>
      <c r="D228" s="4" t="s">
        <v>66</v>
      </c>
      <c r="F228" s="1">
        <v>0</v>
      </c>
      <c r="G228" s="1"/>
      <c r="H228" s="1">
        <v>218872</v>
      </c>
      <c r="I228" s="1"/>
      <c r="J228" s="1">
        <v>0</v>
      </c>
      <c r="K228" s="1"/>
      <c r="L228" s="1">
        <v>3101</v>
      </c>
      <c r="M228" s="1"/>
      <c r="N228" s="1">
        <v>0</v>
      </c>
      <c r="O228" s="1"/>
      <c r="P228" s="1">
        <v>0</v>
      </c>
      <c r="Q228" s="1"/>
      <c r="R228" s="1">
        <v>110</v>
      </c>
      <c r="S228" s="1"/>
      <c r="T228" s="1">
        <v>318</v>
      </c>
      <c r="U228" s="1"/>
      <c r="V228" s="1">
        <v>438</v>
      </c>
      <c r="W228" s="1"/>
      <c r="X228" s="1">
        <v>0</v>
      </c>
      <c r="Y228" s="1"/>
      <c r="Z228" s="1">
        <v>0</v>
      </c>
      <c r="AA228" s="1"/>
      <c r="AB228" s="1">
        <v>0</v>
      </c>
      <c r="AC228" s="1"/>
      <c r="AD228" s="1">
        <v>0</v>
      </c>
      <c r="AF228" s="4">
        <v>0</v>
      </c>
      <c r="AH228" s="4">
        <f t="shared" si="7"/>
        <v>222839</v>
      </c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</row>
    <row r="229" spans="1:66" s="4" customFormat="1">
      <c r="A229" s="4">
        <v>128</v>
      </c>
      <c r="B229" s="4" t="s">
        <v>232</v>
      </c>
      <c r="D229" s="4" t="s">
        <v>13</v>
      </c>
      <c r="F229" s="6">
        <v>502680.72</v>
      </c>
      <c r="G229" s="6"/>
      <c r="H229" s="6">
        <v>325631.44</v>
      </c>
      <c r="I229" s="6"/>
      <c r="J229" s="6">
        <v>21812.080000000002</v>
      </c>
      <c r="K229" s="6"/>
      <c r="L229" s="6">
        <v>20959.7</v>
      </c>
      <c r="M229" s="6"/>
      <c r="N229" s="6">
        <v>0</v>
      </c>
      <c r="O229" s="6"/>
      <c r="P229" s="6">
        <v>97.42</v>
      </c>
      <c r="Q229" s="6"/>
      <c r="R229" s="6">
        <v>395</v>
      </c>
      <c r="S229" s="6"/>
      <c r="T229" s="6">
        <v>888.54</v>
      </c>
      <c r="U229" s="6"/>
      <c r="V229" s="6">
        <v>20027.48</v>
      </c>
      <c r="W229" s="6"/>
      <c r="X229" s="6">
        <v>5</v>
      </c>
      <c r="Y229" s="6"/>
      <c r="Z229" s="6">
        <v>40000</v>
      </c>
      <c r="AA229" s="6"/>
      <c r="AB229" s="6">
        <v>0</v>
      </c>
      <c r="AC229" s="6"/>
      <c r="AD229" s="6">
        <v>0</v>
      </c>
      <c r="AE229" s="6"/>
      <c r="AF229" s="6">
        <v>0</v>
      </c>
      <c r="AG229" s="6"/>
      <c r="AH229" s="6">
        <f>SUM(F229:AF229)</f>
        <v>932497.37999999989</v>
      </c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</row>
    <row r="230" spans="1:66" s="4" customFormat="1">
      <c r="A230" s="4">
        <v>188</v>
      </c>
      <c r="B230" s="4" t="s">
        <v>233</v>
      </c>
      <c r="D230" s="4" t="s">
        <v>234</v>
      </c>
      <c r="F230" s="1">
        <v>0</v>
      </c>
      <c r="G230" s="1"/>
      <c r="H230" s="1">
        <v>0</v>
      </c>
      <c r="I230" s="1"/>
      <c r="J230" s="1">
        <v>1499143</v>
      </c>
      <c r="K230" s="1"/>
      <c r="L230" s="1">
        <v>56880</v>
      </c>
      <c r="M230" s="1"/>
      <c r="N230" s="1">
        <v>0</v>
      </c>
      <c r="O230" s="1"/>
      <c r="P230" s="1">
        <v>0</v>
      </c>
      <c r="Q230" s="1"/>
      <c r="R230" s="1">
        <v>26018</v>
      </c>
      <c r="S230" s="1"/>
      <c r="T230" s="1">
        <v>51813</v>
      </c>
      <c r="U230" s="1"/>
      <c r="V230" s="1">
        <v>8447</v>
      </c>
      <c r="W230" s="1"/>
      <c r="X230" s="1">
        <v>0</v>
      </c>
      <c r="Y230" s="1"/>
      <c r="Z230" s="1">
        <v>0</v>
      </c>
      <c r="AA230" s="1"/>
      <c r="AB230" s="1">
        <v>0</v>
      </c>
      <c r="AC230" s="1"/>
      <c r="AD230" s="1">
        <v>0</v>
      </c>
      <c r="AF230" s="4">
        <v>0</v>
      </c>
      <c r="AH230" s="4">
        <f t="shared" si="7"/>
        <v>1642301</v>
      </c>
    </row>
    <row r="231" spans="1:66" s="4" customFormat="1">
      <c r="A231" s="4">
        <v>72</v>
      </c>
      <c r="B231" s="4" t="s">
        <v>310</v>
      </c>
      <c r="D231" s="4" t="s">
        <v>65</v>
      </c>
      <c r="F231" s="73">
        <v>750119.19</v>
      </c>
      <c r="G231" s="73"/>
      <c r="H231" s="73">
        <v>871553.54</v>
      </c>
      <c r="I231" s="73"/>
      <c r="J231" s="73">
        <v>94604.57</v>
      </c>
      <c r="K231" s="73"/>
      <c r="L231" s="73">
        <v>51734.87</v>
      </c>
      <c r="M231" s="73"/>
      <c r="N231" s="73">
        <v>0</v>
      </c>
      <c r="O231" s="73"/>
      <c r="P231" s="73">
        <v>0</v>
      </c>
      <c r="Q231" s="73"/>
      <c r="R231" s="73">
        <v>1214.31</v>
      </c>
      <c r="S231" s="73"/>
      <c r="T231" s="73">
        <v>3399.52</v>
      </c>
      <c r="U231" s="73"/>
      <c r="V231" s="73">
        <v>11550.59</v>
      </c>
      <c r="W231" s="73"/>
      <c r="X231" s="73">
        <v>0</v>
      </c>
      <c r="Y231" s="73"/>
      <c r="Z231" s="73">
        <v>0</v>
      </c>
      <c r="AA231" s="73"/>
      <c r="AB231" s="73">
        <v>0</v>
      </c>
      <c r="AC231" s="73"/>
      <c r="AD231" s="73">
        <v>0</v>
      </c>
      <c r="AE231" s="73"/>
      <c r="AF231" s="73">
        <v>0</v>
      </c>
      <c r="AG231" s="73"/>
      <c r="AH231" s="73">
        <f>SUM(F231:AF231)</f>
        <v>1784176.5900000003</v>
      </c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</row>
    <row r="232" spans="1:66" s="4" customFormat="1">
      <c r="A232" s="4">
        <v>163</v>
      </c>
      <c r="B232" s="4" t="s">
        <v>574</v>
      </c>
      <c r="D232" s="4" t="s">
        <v>51</v>
      </c>
      <c r="F232" s="73">
        <v>0</v>
      </c>
      <c r="G232" s="73"/>
      <c r="H232" s="73">
        <v>639534.16</v>
      </c>
      <c r="I232" s="73"/>
      <c r="J232" s="73">
        <v>92071.75</v>
      </c>
      <c r="K232" s="73"/>
      <c r="L232" s="73">
        <v>18673.509999999998</v>
      </c>
      <c r="M232" s="73"/>
      <c r="N232" s="73">
        <v>0</v>
      </c>
      <c r="O232" s="73"/>
      <c r="P232" s="73">
        <v>0</v>
      </c>
      <c r="Q232" s="73"/>
      <c r="R232" s="73">
        <v>360009.17</v>
      </c>
      <c r="S232" s="73"/>
      <c r="T232" s="73">
        <v>163.91</v>
      </c>
      <c r="U232" s="73"/>
      <c r="V232" s="73">
        <v>19394.03</v>
      </c>
      <c r="W232" s="73"/>
      <c r="X232" s="73">
        <v>411.03</v>
      </c>
      <c r="Y232" s="73"/>
      <c r="Z232" s="73">
        <v>0</v>
      </c>
      <c r="AA232" s="73"/>
      <c r="AB232" s="73">
        <v>0</v>
      </c>
      <c r="AC232" s="73"/>
      <c r="AD232" s="73">
        <v>0</v>
      </c>
      <c r="AE232" s="73"/>
      <c r="AF232" s="73">
        <v>13000</v>
      </c>
      <c r="AG232" s="73"/>
      <c r="AH232" s="73">
        <f>SUM(F232:AF232)</f>
        <v>1143257.56</v>
      </c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</row>
    <row r="233" spans="1:66" s="4" customFormat="1">
      <c r="A233" s="4">
        <v>151</v>
      </c>
      <c r="B233" s="4" t="s">
        <v>235</v>
      </c>
      <c r="D233" s="4" t="s">
        <v>10</v>
      </c>
      <c r="F233" s="6">
        <v>176312.11</v>
      </c>
      <c r="G233" s="6"/>
      <c r="H233" s="6">
        <v>356368.72</v>
      </c>
      <c r="I233" s="6"/>
      <c r="J233" s="6">
        <v>22482.35</v>
      </c>
      <c r="K233" s="6"/>
      <c r="L233" s="6">
        <v>19313.59</v>
      </c>
      <c r="M233" s="6"/>
      <c r="N233" s="6">
        <v>0</v>
      </c>
      <c r="O233" s="6"/>
      <c r="P233" s="6">
        <v>0</v>
      </c>
      <c r="Q233" s="6"/>
      <c r="R233" s="6">
        <v>2344.5700000000002</v>
      </c>
      <c r="S233" s="6"/>
      <c r="T233" s="6">
        <v>1365.54</v>
      </c>
      <c r="U233" s="6"/>
      <c r="V233" s="6">
        <v>36701.85</v>
      </c>
      <c r="W233" s="6"/>
      <c r="X233" s="6">
        <v>0</v>
      </c>
      <c r="Y233" s="6"/>
      <c r="Z233" s="6">
        <v>0</v>
      </c>
      <c r="AA233" s="6"/>
      <c r="AB233" s="6">
        <v>0</v>
      </c>
      <c r="AC233" s="6"/>
      <c r="AD233" s="6">
        <v>0</v>
      </c>
      <c r="AE233" s="6"/>
      <c r="AF233" s="6">
        <v>0</v>
      </c>
      <c r="AG233" s="6"/>
      <c r="AH233" s="6">
        <f>SUM(F233:AF233)</f>
        <v>614888.72999999986</v>
      </c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</row>
    <row r="234" spans="1:66" s="4" customFormat="1">
      <c r="A234" s="4">
        <v>192</v>
      </c>
      <c r="B234" s="4" t="s">
        <v>595</v>
      </c>
      <c r="D234" s="4" t="s">
        <v>171</v>
      </c>
      <c r="F234" s="1">
        <v>0</v>
      </c>
      <c r="G234" s="1"/>
      <c r="H234" s="1">
        <v>2058931</v>
      </c>
      <c r="I234" s="1"/>
      <c r="J234" s="1">
        <v>8934</v>
      </c>
      <c r="K234" s="1"/>
      <c r="L234" s="1">
        <v>35481</v>
      </c>
      <c r="M234" s="1"/>
      <c r="N234" s="1">
        <v>0</v>
      </c>
      <c r="O234" s="1"/>
      <c r="P234" s="1">
        <v>24210</v>
      </c>
      <c r="Q234" s="1"/>
      <c r="R234" s="1">
        <v>33414</v>
      </c>
      <c r="S234" s="1"/>
      <c r="T234" s="1">
        <v>3943</v>
      </c>
      <c r="U234" s="1"/>
      <c r="V234" s="1">
        <v>33764</v>
      </c>
      <c r="W234" s="1"/>
      <c r="X234" s="1">
        <v>0</v>
      </c>
      <c r="Y234" s="1"/>
      <c r="Z234" s="1">
        <v>100000</v>
      </c>
      <c r="AA234" s="1"/>
      <c r="AB234" s="4">
        <v>0</v>
      </c>
      <c r="AC234" s="1"/>
      <c r="AD234" s="1">
        <v>0</v>
      </c>
      <c r="AF234" s="4">
        <v>0</v>
      </c>
      <c r="AH234" s="4">
        <f t="shared" si="7"/>
        <v>2298677</v>
      </c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1:66" s="4" customFormat="1">
      <c r="B235" s="4" t="s">
        <v>608</v>
      </c>
      <c r="D235" s="4" t="s">
        <v>156</v>
      </c>
      <c r="F235" s="1">
        <v>1175627</v>
      </c>
      <c r="G235" s="1"/>
      <c r="H235" s="1">
        <v>0</v>
      </c>
      <c r="I235" s="1"/>
      <c r="J235" s="1">
        <v>0</v>
      </c>
      <c r="K235" s="1"/>
      <c r="L235" s="1">
        <v>19712</v>
      </c>
      <c r="M235" s="1"/>
      <c r="N235" s="1">
        <v>0</v>
      </c>
      <c r="O235" s="1"/>
      <c r="P235" s="1">
        <v>0</v>
      </c>
      <c r="Q235" s="1"/>
      <c r="R235" s="1">
        <v>37772</v>
      </c>
      <c r="S235" s="1"/>
      <c r="T235" s="1">
        <v>418</v>
      </c>
      <c r="U235" s="1"/>
      <c r="V235" s="1">
        <v>1933</v>
      </c>
      <c r="W235" s="1"/>
      <c r="X235" s="1">
        <v>0</v>
      </c>
      <c r="Y235" s="1"/>
      <c r="Z235" s="1">
        <v>0</v>
      </c>
      <c r="AA235" s="1"/>
      <c r="AB235" s="1">
        <v>0</v>
      </c>
      <c r="AC235" s="1"/>
      <c r="AD235" s="1">
        <v>0</v>
      </c>
      <c r="AF235" s="4">
        <v>0</v>
      </c>
      <c r="AH235" s="4">
        <f t="shared" si="7"/>
        <v>1235462</v>
      </c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</row>
    <row r="236" spans="1:66" s="4" customFormat="1">
      <c r="A236" s="4">
        <v>55</v>
      </c>
      <c r="B236" s="4" t="s">
        <v>438</v>
      </c>
      <c r="D236" s="4" t="s">
        <v>17</v>
      </c>
      <c r="F236" s="1">
        <v>3843736</v>
      </c>
      <c r="G236" s="1"/>
      <c r="H236" s="1">
        <v>1094768</v>
      </c>
      <c r="I236" s="1"/>
      <c r="J236" s="1">
        <v>36561</v>
      </c>
      <c r="K236" s="1"/>
      <c r="L236" s="1">
        <v>99393</v>
      </c>
      <c r="M236" s="1"/>
      <c r="N236" s="1">
        <v>0</v>
      </c>
      <c r="O236" s="1"/>
      <c r="P236" s="1">
        <v>0</v>
      </c>
      <c r="Q236" s="1"/>
      <c r="R236" s="1">
        <v>44549</v>
      </c>
      <c r="S236" s="1"/>
      <c r="T236" s="1">
        <v>24216</v>
      </c>
      <c r="U236" s="1"/>
      <c r="V236" s="1">
        <v>27565</v>
      </c>
      <c r="W236" s="1"/>
      <c r="X236" s="1">
        <v>0</v>
      </c>
      <c r="Y236" s="1"/>
      <c r="Z236" s="1">
        <v>235854</v>
      </c>
      <c r="AA236" s="1"/>
      <c r="AB236" s="1">
        <v>0</v>
      </c>
      <c r="AC236" s="1"/>
      <c r="AD236" s="1">
        <v>0</v>
      </c>
      <c r="AF236" s="4">
        <v>0</v>
      </c>
      <c r="AH236" s="4">
        <f t="shared" si="7"/>
        <v>5406642</v>
      </c>
    </row>
    <row r="237" spans="1:66" s="4" customFormat="1">
      <c r="A237" s="4">
        <v>202</v>
      </c>
      <c r="B237" s="4" t="s">
        <v>21</v>
      </c>
      <c r="D237" s="4" t="s">
        <v>22</v>
      </c>
      <c r="F237" s="1">
        <v>904914</v>
      </c>
      <c r="G237" s="1"/>
      <c r="H237" s="1">
        <v>0</v>
      </c>
      <c r="I237" s="1"/>
      <c r="J237" s="1">
        <v>2386620</v>
      </c>
      <c r="K237" s="1"/>
      <c r="L237" s="1">
        <v>50226</v>
      </c>
      <c r="M237" s="1"/>
      <c r="N237" s="1">
        <v>0</v>
      </c>
      <c r="O237" s="1"/>
      <c r="P237" s="1">
        <v>0</v>
      </c>
      <c r="Q237" s="1"/>
      <c r="R237" s="1">
        <v>55912</v>
      </c>
      <c r="S237" s="1"/>
      <c r="T237" s="1">
        <v>1281</v>
      </c>
      <c r="U237" s="1"/>
      <c r="V237" s="1">
        <v>59084</v>
      </c>
      <c r="W237" s="1"/>
      <c r="X237" s="1">
        <v>0</v>
      </c>
      <c r="Y237" s="1"/>
      <c r="Z237" s="1">
        <v>0</v>
      </c>
      <c r="AA237" s="1"/>
      <c r="AB237" s="1">
        <v>0</v>
      </c>
      <c r="AC237" s="1"/>
      <c r="AD237" s="1">
        <v>0</v>
      </c>
      <c r="AF237" s="4">
        <v>0</v>
      </c>
      <c r="AH237" s="4">
        <f t="shared" si="7"/>
        <v>3458037</v>
      </c>
    </row>
    <row r="238" spans="1:66" s="4" customFormat="1">
      <c r="A238" s="4">
        <v>196</v>
      </c>
      <c r="B238" s="4" t="s">
        <v>596</v>
      </c>
      <c r="D238" s="4" t="s">
        <v>100</v>
      </c>
      <c r="F238" s="1">
        <v>755709</v>
      </c>
      <c r="G238" s="1"/>
      <c r="H238" s="1">
        <v>0</v>
      </c>
      <c r="I238" s="1"/>
      <c r="J238" s="1">
        <v>1077118</v>
      </c>
      <c r="K238" s="1"/>
      <c r="L238" s="1">
        <v>14143</v>
      </c>
      <c r="M238" s="1"/>
      <c r="N238" s="1">
        <v>0</v>
      </c>
      <c r="O238" s="1"/>
      <c r="P238" s="1">
        <v>0</v>
      </c>
      <c r="Q238" s="1"/>
      <c r="R238" s="1">
        <v>4398</v>
      </c>
      <c r="S238" s="1"/>
      <c r="T238" s="1">
        <v>415</v>
      </c>
      <c r="U238" s="1"/>
      <c r="V238" s="1">
        <f>14891+13671</f>
        <v>28562</v>
      </c>
      <c r="W238" s="1"/>
      <c r="X238" s="1">
        <v>0</v>
      </c>
      <c r="Y238" s="1"/>
      <c r="Z238" s="1">
        <v>0</v>
      </c>
      <c r="AA238" s="1"/>
      <c r="AB238" s="1">
        <v>0</v>
      </c>
      <c r="AC238" s="1"/>
      <c r="AD238" s="1">
        <v>0</v>
      </c>
      <c r="AF238" s="4">
        <v>0</v>
      </c>
      <c r="AH238" s="4">
        <f t="shared" si="7"/>
        <v>1880345</v>
      </c>
    </row>
    <row r="239" spans="1:66" s="4" customFormat="1">
      <c r="B239" s="4" t="s">
        <v>609</v>
      </c>
      <c r="C239" s="15"/>
      <c r="D239" s="15" t="s">
        <v>569</v>
      </c>
      <c r="F239" s="1">
        <v>17613602</v>
      </c>
      <c r="G239" s="1"/>
      <c r="H239" s="1">
        <v>0</v>
      </c>
      <c r="I239" s="1"/>
      <c r="J239" s="1">
        <v>39798636</v>
      </c>
      <c r="K239" s="1"/>
      <c r="L239" s="1">
        <v>1853699</v>
      </c>
      <c r="M239" s="1"/>
      <c r="N239" s="1">
        <v>0</v>
      </c>
      <c r="O239" s="1"/>
      <c r="P239" s="1">
        <v>3048</v>
      </c>
      <c r="Q239" s="1"/>
      <c r="R239" s="1">
        <v>481376</v>
      </c>
      <c r="S239" s="1"/>
      <c r="T239" s="1">
        <v>195357</v>
      </c>
      <c r="U239" s="1"/>
      <c r="V239" s="1">
        <v>563862</v>
      </c>
      <c r="W239" s="1"/>
      <c r="X239" s="1">
        <v>0</v>
      </c>
      <c r="Y239" s="1"/>
      <c r="Z239" s="1">
        <v>2500000</v>
      </c>
      <c r="AA239" s="1"/>
      <c r="AB239" s="1">
        <v>0</v>
      </c>
      <c r="AC239" s="1"/>
      <c r="AD239" s="1">
        <v>0</v>
      </c>
      <c r="AF239" s="4">
        <v>0</v>
      </c>
      <c r="AH239" s="4">
        <f t="shared" si="7"/>
        <v>63009580</v>
      </c>
    </row>
    <row r="240" spans="1:66" s="4" customFormat="1">
      <c r="A240" s="4">
        <v>102</v>
      </c>
      <c r="B240" s="4" t="s">
        <v>236</v>
      </c>
      <c r="D240" s="4" t="s">
        <v>44</v>
      </c>
      <c r="F240" s="6">
        <v>188151.97</v>
      </c>
      <c r="G240" s="6"/>
      <c r="H240" s="6">
        <v>443946.99</v>
      </c>
      <c r="I240" s="6"/>
      <c r="J240" s="6">
        <v>40565.279999999999</v>
      </c>
      <c r="K240" s="6"/>
      <c r="L240" s="6">
        <v>23808.65</v>
      </c>
      <c r="M240" s="6"/>
      <c r="N240" s="6">
        <v>0</v>
      </c>
      <c r="O240" s="6"/>
      <c r="P240" s="6">
        <v>0</v>
      </c>
      <c r="Q240" s="6"/>
      <c r="R240" s="6">
        <v>6257.31</v>
      </c>
      <c r="S240" s="6"/>
      <c r="T240" s="6">
        <v>4634.6899999999996</v>
      </c>
      <c r="U240" s="6"/>
      <c r="V240" s="6">
        <v>27543.279999999999</v>
      </c>
      <c r="W240" s="6"/>
      <c r="X240" s="6">
        <v>0</v>
      </c>
      <c r="Y240" s="6"/>
      <c r="Z240" s="6">
        <v>40000</v>
      </c>
      <c r="AA240" s="6"/>
      <c r="AB240" s="6">
        <v>0</v>
      </c>
      <c r="AC240" s="6"/>
      <c r="AD240" s="6">
        <v>0</v>
      </c>
      <c r="AE240" s="6"/>
      <c r="AF240" s="6">
        <v>0</v>
      </c>
      <c r="AG240" s="6"/>
      <c r="AH240" s="6">
        <f>SUM(F240:AF240)</f>
        <v>774908.17</v>
      </c>
    </row>
    <row r="241" spans="1:66" s="4" customFormat="1">
      <c r="A241" s="39">
        <v>197.1</v>
      </c>
      <c r="B241" s="3" t="s">
        <v>572</v>
      </c>
      <c r="C241" s="3"/>
      <c r="D241" s="3" t="s">
        <v>573</v>
      </c>
      <c r="E241" s="3"/>
      <c r="F241" s="6">
        <v>0</v>
      </c>
      <c r="G241" s="6"/>
      <c r="H241" s="6">
        <v>1020994.22</v>
      </c>
      <c r="I241" s="6"/>
      <c r="J241" s="6">
        <v>42563.45</v>
      </c>
      <c r="K241" s="6"/>
      <c r="L241" s="6">
        <v>14880.76</v>
      </c>
      <c r="M241" s="6"/>
      <c r="N241" s="6">
        <v>0</v>
      </c>
      <c r="O241" s="6"/>
      <c r="P241" s="6">
        <v>0</v>
      </c>
      <c r="Q241" s="6"/>
      <c r="R241" s="6">
        <v>32984.97</v>
      </c>
      <c r="S241" s="6"/>
      <c r="T241" s="6">
        <v>16602.080000000002</v>
      </c>
      <c r="U241" s="6"/>
      <c r="V241" s="6">
        <v>12159.79</v>
      </c>
      <c r="W241" s="6"/>
      <c r="X241" s="6">
        <v>0</v>
      </c>
      <c r="Y241" s="6"/>
      <c r="Z241" s="6">
        <v>0</v>
      </c>
      <c r="AA241" s="6"/>
      <c r="AB241" s="6">
        <v>28062.75</v>
      </c>
      <c r="AC241" s="6"/>
      <c r="AD241" s="6">
        <v>0</v>
      </c>
      <c r="AE241" s="6"/>
      <c r="AF241" s="6">
        <v>0</v>
      </c>
      <c r="AG241" s="6"/>
      <c r="AH241" s="6">
        <f>SUM(F241:AF241)</f>
        <v>1168248.02</v>
      </c>
    </row>
    <row r="242" spans="1:66" s="4" customFormat="1">
      <c r="A242" s="4">
        <v>193</v>
      </c>
      <c r="B242" s="4" t="s">
        <v>237</v>
      </c>
      <c r="D242" s="4" t="s">
        <v>171</v>
      </c>
      <c r="F242" s="6">
        <v>460359.09</v>
      </c>
      <c r="G242" s="6"/>
      <c r="H242" s="6">
        <v>867777.51</v>
      </c>
      <c r="I242" s="6"/>
      <c r="J242" s="6">
        <v>59961.52</v>
      </c>
      <c r="K242" s="6"/>
      <c r="L242" s="6">
        <v>35474.28</v>
      </c>
      <c r="M242" s="6"/>
      <c r="N242" s="6">
        <v>0</v>
      </c>
      <c r="O242" s="6"/>
      <c r="P242" s="6">
        <v>18.25</v>
      </c>
      <c r="Q242" s="6"/>
      <c r="R242" s="6">
        <v>22601.51</v>
      </c>
      <c r="S242" s="6"/>
      <c r="T242" s="6">
        <v>8716.92</v>
      </c>
      <c r="U242" s="6"/>
      <c r="V242" s="6">
        <v>5214.8999999999996</v>
      </c>
      <c r="W242" s="6"/>
      <c r="X242" s="6">
        <v>0</v>
      </c>
      <c r="Y242" s="6"/>
      <c r="Z242" s="6">
        <v>2790.92</v>
      </c>
      <c r="AA242" s="6"/>
      <c r="AB242" s="6">
        <v>0</v>
      </c>
      <c r="AC242" s="6"/>
      <c r="AD242" s="6">
        <v>4081.21</v>
      </c>
      <c r="AE242" s="6"/>
      <c r="AF242" s="6">
        <v>0</v>
      </c>
      <c r="AG242" s="6"/>
      <c r="AH242" s="6">
        <f>SUM(F242:AF242)</f>
        <v>1466996.1099999999</v>
      </c>
    </row>
    <row r="243" spans="1:66" s="4" customFormat="1">
      <c r="A243" s="4">
        <v>153</v>
      </c>
      <c r="B243" s="4" t="s">
        <v>238</v>
      </c>
      <c r="D243" s="4" t="s">
        <v>213</v>
      </c>
      <c r="F243" s="1">
        <v>9354539</v>
      </c>
      <c r="G243" s="1"/>
      <c r="H243" s="1">
        <v>7855274</v>
      </c>
      <c r="I243" s="1"/>
      <c r="J243" s="1">
        <v>1572803</v>
      </c>
      <c r="K243" s="1"/>
      <c r="L243" s="1">
        <v>236325</v>
      </c>
      <c r="M243" s="1"/>
      <c r="N243" s="1">
        <v>0</v>
      </c>
      <c r="O243" s="1"/>
      <c r="P243" s="1">
        <v>0</v>
      </c>
      <c r="Q243" s="1"/>
      <c r="R243" s="1">
        <v>89671</v>
      </c>
      <c r="S243" s="1"/>
      <c r="T243" s="1">
        <v>116141</v>
      </c>
      <c r="U243" s="1"/>
      <c r="V243" s="1">
        <v>115574</v>
      </c>
      <c r="W243" s="1"/>
      <c r="X243" s="1">
        <v>0</v>
      </c>
      <c r="Y243" s="1"/>
      <c r="Z243" s="1">
        <v>6450000</v>
      </c>
      <c r="AA243" s="1"/>
      <c r="AB243" s="1">
        <v>0</v>
      </c>
      <c r="AC243" s="1"/>
      <c r="AD243" s="1">
        <v>0</v>
      </c>
      <c r="AF243" s="4">
        <v>0</v>
      </c>
      <c r="AH243" s="4">
        <f t="shared" si="7"/>
        <v>25790327</v>
      </c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</row>
    <row r="244" spans="1:66" s="4" customFormat="1"/>
    <row r="245" spans="1:66" s="4" customFormat="1">
      <c r="AH245" s="43" t="s">
        <v>580</v>
      </c>
    </row>
    <row r="246" spans="1:66">
      <c r="B246" s="3" t="s">
        <v>518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66">
      <c r="B247" s="3" t="s">
        <v>626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66">
      <c r="B248" s="41" t="s">
        <v>5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66"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66" s="36" customFormat="1">
      <c r="F250" s="28"/>
      <c r="G250" s="28"/>
      <c r="H250" s="28" t="s">
        <v>280</v>
      </c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1:66" s="36" customFormat="1">
      <c r="F251" s="28" t="s">
        <v>29</v>
      </c>
      <c r="G251" s="28"/>
      <c r="H251" s="28" t="s">
        <v>281</v>
      </c>
      <c r="I251" s="28"/>
      <c r="J251" s="28"/>
      <c r="K251" s="28"/>
      <c r="L251" s="28"/>
      <c r="M251" s="28"/>
      <c r="N251" s="28"/>
      <c r="O251" s="28"/>
      <c r="P251" s="28" t="s">
        <v>27</v>
      </c>
      <c r="Q251" s="28"/>
      <c r="R251" s="28" t="s">
        <v>287</v>
      </c>
      <c r="S251" s="28"/>
      <c r="T251" s="28"/>
      <c r="U251" s="28"/>
      <c r="V251" s="28"/>
      <c r="W251" s="28"/>
      <c r="X251" s="28" t="s">
        <v>292</v>
      </c>
      <c r="Y251" s="28"/>
      <c r="Z251" s="28"/>
      <c r="AA251" s="28"/>
      <c r="AB251" s="28"/>
      <c r="AC251" s="28"/>
      <c r="AD251" s="28" t="s">
        <v>0</v>
      </c>
      <c r="AE251" s="28"/>
      <c r="AF251" s="28"/>
      <c r="AG251" s="28"/>
      <c r="AH251" s="28"/>
    </row>
    <row r="252" spans="1:66" s="36" customFormat="1" ht="12" customHeight="1">
      <c r="F252" s="28" t="s">
        <v>0</v>
      </c>
      <c r="G252" s="28"/>
      <c r="H252" s="28" t="s">
        <v>282</v>
      </c>
      <c r="I252" s="28"/>
      <c r="J252" s="28" t="s">
        <v>344</v>
      </c>
      <c r="K252" s="28"/>
      <c r="L252" s="28" t="s">
        <v>284</v>
      </c>
      <c r="M252" s="28"/>
      <c r="N252" s="28"/>
      <c r="O252" s="28"/>
      <c r="P252" s="28" t="s">
        <v>286</v>
      </c>
      <c r="Q252" s="28"/>
      <c r="R252" s="28" t="s">
        <v>288</v>
      </c>
      <c r="S252" s="28"/>
      <c r="T252" s="28" t="s">
        <v>290</v>
      </c>
      <c r="U252" s="28"/>
      <c r="V252" s="28"/>
      <c r="W252" s="28"/>
      <c r="X252" s="28" t="s">
        <v>293</v>
      </c>
      <c r="Y252" s="28"/>
      <c r="Z252" s="28"/>
      <c r="AA252" s="28"/>
      <c r="AB252" s="28"/>
      <c r="AC252" s="28"/>
      <c r="AD252" s="28" t="s">
        <v>294</v>
      </c>
      <c r="AE252" s="28"/>
      <c r="AF252" s="28" t="s">
        <v>636</v>
      </c>
      <c r="AG252" s="28"/>
      <c r="AH252" s="28"/>
    </row>
    <row r="253" spans="1:66" s="36" customFormat="1" ht="12" customHeight="1">
      <c r="A253" s="36" t="s">
        <v>567</v>
      </c>
      <c r="B253" s="37"/>
      <c r="C253" s="44"/>
      <c r="D253" s="37" t="s">
        <v>4</v>
      </c>
      <c r="E253" s="44"/>
      <c r="F253" s="52" t="s">
        <v>279</v>
      </c>
      <c r="G253" s="49"/>
      <c r="H253" s="52" t="s">
        <v>283</v>
      </c>
      <c r="I253" s="49"/>
      <c r="J253" s="52" t="s">
        <v>345</v>
      </c>
      <c r="K253" s="49"/>
      <c r="L253" s="52" t="s">
        <v>285</v>
      </c>
      <c r="M253" s="49"/>
      <c r="N253" s="52" t="s">
        <v>549</v>
      </c>
      <c r="O253" s="49"/>
      <c r="P253" s="52" t="s">
        <v>551</v>
      </c>
      <c r="Q253" s="49"/>
      <c r="R253" s="52" t="s">
        <v>289</v>
      </c>
      <c r="S253" s="49"/>
      <c r="T253" s="52" t="s">
        <v>291</v>
      </c>
      <c r="U253" s="49"/>
      <c r="V253" s="52" t="s">
        <v>1</v>
      </c>
      <c r="W253" s="49"/>
      <c r="X253" s="52" t="s">
        <v>30</v>
      </c>
      <c r="Y253" s="49"/>
      <c r="Z253" s="52" t="s">
        <v>502</v>
      </c>
      <c r="AA253" s="49"/>
      <c r="AB253" s="52" t="s">
        <v>503</v>
      </c>
      <c r="AC253" s="49"/>
      <c r="AD253" s="52" t="s">
        <v>295</v>
      </c>
      <c r="AE253" s="49"/>
      <c r="AF253" s="52" t="s">
        <v>418</v>
      </c>
      <c r="AG253" s="49"/>
      <c r="AH253" s="40" t="s">
        <v>26</v>
      </c>
    </row>
    <row r="254" spans="1:66" s="7" customFormat="1">
      <c r="A254" s="7">
        <v>238</v>
      </c>
      <c r="B254" s="7" t="s">
        <v>239</v>
      </c>
      <c r="D254" s="7" t="s">
        <v>191</v>
      </c>
      <c r="F254" s="7">
        <v>0</v>
      </c>
      <c r="H254" s="7">
        <v>289448.06</v>
      </c>
      <c r="J254" s="7">
        <v>0</v>
      </c>
      <c r="L254" s="7">
        <v>5262.53</v>
      </c>
      <c r="N254" s="7">
        <v>0</v>
      </c>
      <c r="P254" s="7">
        <v>0</v>
      </c>
      <c r="R254" s="7">
        <v>274.52</v>
      </c>
      <c r="T254" s="7">
        <v>351.18</v>
      </c>
      <c r="V254" s="7">
        <v>319.82</v>
      </c>
      <c r="X254" s="7">
        <v>0</v>
      </c>
      <c r="Z254" s="7">
        <v>0</v>
      </c>
      <c r="AB254" s="7">
        <v>0</v>
      </c>
      <c r="AD254" s="7">
        <v>0</v>
      </c>
      <c r="AF254" s="7">
        <v>0</v>
      </c>
      <c r="AH254" s="7">
        <f>SUM(G254:AD254)</f>
        <v>295656.11000000004</v>
      </c>
    </row>
    <row r="255" spans="1:66" s="4" customFormat="1">
      <c r="A255" s="4">
        <v>100</v>
      </c>
      <c r="B255" s="4" t="s">
        <v>312</v>
      </c>
      <c r="D255" s="4" t="s">
        <v>59</v>
      </c>
      <c r="F255" s="6">
        <v>15806.95</v>
      </c>
      <c r="G255" s="6"/>
      <c r="H255" s="6">
        <v>83335.23</v>
      </c>
      <c r="I255" s="6"/>
      <c r="J255" s="6">
        <v>2865.23</v>
      </c>
      <c r="K255" s="6"/>
      <c r="L255" s="6">
        <v>1560.13</v>
      </c>
      <c r="M255" s="6"/>
      <c r="N255" s="6">
        <v>0</v>
      </c>
      <c r="O255" s="6"/>
      <c r="P255" s="6">
        <v>0</v>
      </c>
      <c r="Q255" s="6"/>
      <c r="R255" s="6">
        <v>2924</v>
      </c>
      <c r="S255" s="6"/>
      <c r="T255" s="6">
        <v>498.17</v>
      </c>
      <c r="U255" s="6"/>
      <c r="V255" s="6">
        <v>979.19</v>
      </c>
      <c r="W255" s="6"/>
      <c r="X255" s="6">
        <v>0</v>
      </c>
      <c r="Y255" s="6"/>
      <c r="Z255" s="6">
        <v>0</v>
      </c>
      <c r="AA255" s="6"/>
      <c r="AB255" s="6">
        <v>0</v>
      </c>
      <c r="AC255" s="6"/>
      <c r="AD255" s="6">
        <v>0</v>
      </c>
      <c r="AE255" s="6"/>
      <c r="AF255" s="6">
        <v>0</v>
      </c>
      <c r="AG255" s="6"/>
      <c r="AH255" s="6">
        <f>SUM(F255:AF255)</f>
        <v>107968.9</v>
      </c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</row>
    <row r="256" spans="1:66" s="4" customFormat="1">
      <c r="A256" s="4">
        <v>68</v>
      </c>
      <c r="B256" s="4" t="s">
        <v>460</v>
      </c>
      <c r="D256" s="4" t="s">
        <v>165</v>
      </c>
      <c r="F256" s="6">
        <v>531216.28</v>
      </c>
      <c r="G256" s="6"/>
      <c r="H256" s="6">
        <v>543928.91</v>
      </c>
      <c r="I256" s="6"/>
      <c r="J256" s="6">
        <v>1300</v>
      </c>
      <c r="K256" s="6"/>
      <c r="L256" s="6">
        <v>32807.58</v>
      </c>
      <c r="M256" s="6"/>
      <c r="N256" s="6">
        <v>0</v>
      </c>
      <c r="O256" s="6"/>
      <c r="P256" s="6">
        <v>0</v>
      </c>
      <c r="Q256" s="6"/>
      <c r="R256" s="6">
        <v>33982.129999999997</v>
      </c>
      <c r="S256" s="6"/>
      <c r="T256" s="6">
        <v>4461.7299999999996</v>
      </c>
      <c r="U256" s="6"/>
      <c r="V256" s="6">
        <v>3592.8</v>
      </c>
      <c r="W256" s="6"/>
      <c r="X256" s="6">
        <v>600</v>
      </c>
      <c r="Y256" s="6"/>
      <c r="Z256" s="6">
        <v>0</v>
      </c>
      <c r="AA256" s="6"/>
      <c r="AB256" s="6">
        <v>0</v>
      </c>
      <c r="AC256" s="6"/>
      <c r="AD256" s="6">
        <v>0</v>
      </c>
      <c r="AE256" s="6"/>
      <c r="AF256" s="6">
        <v>0</v>
      </c>
      <c r="AG256" s="6"/>
      <c r="AH256" s="6">
        <f>SUM(F256:AF256)</f>
        <v>1151889.43</v>
      </c>
    </row>
    <row r="257" spans="1:66" s="4" customFormat="1">
      <c r="A257" s="4">
        <v>15</v>
      </c>
      <c r="B257" s="4" t="s">
        <v>241</v>
      </c>
      <c r="D257" s="4" t="s">
        <v>41</v>
      </c>
      <c r="F257" s="6">
        <v>0</v>
      </c>
      <c r="G257" s="6"/>
      <c r="H257" s="6">
        <v>152824.42000000001</v>
      </c>
      <c r="I257" s="6"/>
      <c r="J257" s="6">
        <v>849.99</v>
      </c>
      <c r="K257" s="6"/>
      <c r="L257" s="6">
        <v>7053.33</v>
      </c>
      <c r="M257" s="6"/>
      <c r="N257" s="6">
        <v>0</v>
      </c>
      <c r="O257" s="6"/>
      <c r="P257" s="6">
        <v>0</v>
      </c>
      <c r="Q257" s="6"/>
      <c r="R257" s="6">
        <v>5628.07</v>
      </c>
      <c r="S257" s="6"/>
      <c r="T257" s="6">
        <v>302.3</v>
      </c>
      <c r="U257" s="6"/>
      <c r="V257" s="6">
        <v>154.21</v>
      </c>
      <c r="W257" s="6"/>
      <c r="X257" s="6">
        <v>0</v>
      </c>
      <c r="Y257" s="6"/>
      <c r="Z257" s="6">
        <v>0</v>
      </c>
      <c r="AA257" s="6"/>
      <c r="AB257" s="6">
        <v>0</v>
      </c>
      <c r="AC257" s="6"/>
      <c r="AD257" s="6">
        <v>0</v>
      </c>
      <c r="AE257" s="6"/>
      <c r="AF257" s="6">
        <v>0</v>
      </c>
      <c r="AG257" s="6"/>
      <c r="AH257" s="6">
        <f>SUM(F257:AF257)</f>
        <v>166812.31999999998</v>
      </c>
    </row>
    <row r="258" spans="1:66" s="4" customFormat="1">
      <c r="A258" s="4">
        <v>161</v>
      </c>
      <c r="B258" s="4" t="s">
        <v>339</v>
      </c>
      <c r="D258" s="4" t="s">
        <v>48</v>
      </c>
      <c r="F258" s="6">
        <v>60659.519999999997</v>
      </c>
      <c r="G258" s="6"/>
      <c r="H258" s="6">
        <v>150797.49</v>
      </c>
      <c r="I258" s="6"/>
      <c r="J258" s="6">
        <v>9423.18</v>
      </c>
      <c r="K258" s="6"/>
      <c r="L258" s="6">
        <v>1541.71</v>
      </c>
      <c r="M258" s="6"/>
      <c r="N258" s="6">
        <v>0</v>
      </c>
      <c r="O258" s="6"/>
      <c r="P258" s="6">
        <v>50</v>
      </c>
      <c r="Q258" s="6"/>
      <c r="R258" s="6">
        <v>15366</v>
      </c>
      <c r="S258" s="6"/>
      <c r="T258" s="6">
        <v>120.36</v>
      </c>
      <c r="U258" s="6"/>
      <c r="V258" s="6">
        <v>827.8</v>
      </c>
      <c r="W258" s="6"/>
      <c r="X258" s="6">
        <v>0</v>
      </c>
      <c r="Y258" s="6"/>
      <c r="Z258" s="6">
        <v>0</v>
      </c>
      <c r="AA258" s="6"/>
      <c r="AB258" s="6">
        <v>20692</v>
      </c>
      <c r="AC258" s="6"/>
      <c r="AD258" s="6">
        <v>0</v>
      </c>
      <c r="AE258" s="6"/>
      <c r="AF258" s="6">
        <v>0</v>
      </c>
      <c r="AG258" s="6"/>
      <c r="AH258" s="6">
        <f>SUM(F258:AF258)</f>
        <v>259478.05999999994</v>
      </c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</row>
    <row r="259" spans="1:66" s="4" customFormat="1">
      <c r="A259" s="4">
        <v>56</v>
      </c>
      <c r="B259" s="4" t="s">
        <v>242</v>
      </c>
      <c r="D259" s="4" t="s">
        <v>17</v>
      </c>
      <c r="F259" s="4">
        <v>3090789</v>
      </c>
      <c r="H259" s="4">
        <v>639592</v>
      </c>
      <c r="J259" s="4">
        <v>454987</v>
      </c>
      <c r="L259" s="4">
        <v>69851</v>
      </c>
      <c r="N259" s="4">
        <v>0</v>
      </c>
      <c r="P259" s="4">
        <v>0</v>
      </c>
      <c r="R259" s="4">
        <v>22400</v>
      </c>
      <c r="T259" s="4">
        <v>4463</v>
      </c>
      <c r="V259" s="4">
        <v>2914</v>
      </c>
      <c r="X259" s="4">
        <v>0</v>
      </c>
      <c r="Z259" s="4">
        <v>170000</v>
      </c>
      <c r="AB259" s="4">
        <v>0</v>
      </c>
      <c r="AD259" s="4">
        <v>0</v>
      </c>
      <c r="AF259" s="4">
        <v>0</v>
      </c>
      <c r="AH259" s="4">
        <f t="shared" ref="AH259:AH285" si="9">SUM(F259:AD259)</f>
        <v>4454996</v>
      </c>
    </row>
    <row r="260" spans="1:66" s="4" customFormat="1">
      <c r="A260" s="4">
        <v>214</v>
      </c>
      <c r="B260" s="4" t="s">
        <v>243</v>
      </c>
      <c r="D260" s="4" t="s">
        <v>23</v>
      </c>
      <c r="F260" s="4">
        <v>2104902</v>
      </c>
      <c r="H260" s="4">
        <v>0</v>
      </c>
      <c r="J260" s="4">
        <v>8110</v>
      </c>
      <c r="L260" s="4">
        <v>27792</v>
      </c>
      <c r="N260" s="4">
        <v>0</v>
      </c>
      <c r="P260" s="4">
        <v>0</v>
      </c>
      <c r="R260" s="4">
        <v>24041</v>
      </c>
      <c r="T260" s="4">
        <v>1826</v>
      </c>
      <c r="V260" s="4">
        <v>374664</v>
      </c>
      <c r="X260" s="4">
        <v>0</v>
      </c>
      <c r="Z260" s="4">
        <v>336000</v>
      </c>
      <c r="AB260" s="4">
        <v>0</v>
      </c>
      <c r="AD260" s="4">
        <v>0</v>
      </c>
      <c r="AF260" s="4">
        <v>0</v>
      </c>
      <c r="AH260" s="4">
        <f t="shared" si="9"/>
        <v>2877335</v>
      </c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</row>
    <row r="261" spans="1:66" s="4" customFormat="1">
      <c r="A261" s="4">
        <v>253</v>
      </c>
      <c r="B261" s="4" t="s">
        <v>244</v>
      </c>
      <c r="D261" s="4" t="s">
        <v>63</v>
      </c>
      <c r="F261" s="1">
        <v>319350</v>
      </c>
      <c r="G261" s="1"/>
      <c r="H261" s="1">
        <v>493706</v>
      </c>
      <c r="J261" s="4">
        <v>114224</v>
      </c>
      <c r="L261" s="1">
        <v>24675</v>
      </c>
      <c r="M261" s="1"/>
      <c r="N261" s="1">
        <v>0</v>
      </c>
      <c r="O261" s="1"/>
      <c r="P261" s="1">
        <v>0</v>
      </c>
      <c r="Q261" s="1"/>
      <c r="R261" s="1">
        <v>6143</v>
      </c>
      <c r="S261" s="1"/>
      <c r="T261" s="1">
        <v>3180</v>
      </c>
      <c r="U261" s="1"/>
      <c r="V261" s="1">
        <v>8230</v>
      </c>
      <c r="X261" s="4">
        <v>0</v>
      </c>
      <c r="Z261" s="4">
        <v>0</v>
      </c>
      <c r="AB261" s="4">
        <v>0</v>
      </c>
      <c r="AD261" s="4">
        <v>0</v>
      </c>
      <c r="AF261" s="4">
        <v>0</v>
      </c>
      <c r="AH261" s="4">
        <f t="shared" si="9"/>
        <v>969508</v>
      </c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</row>
    <row r="262" spans="1:66" s="4" customFormat="1">
      <c r="A262" s="4">
        <v>36</v>
      </c>
      <c r="B262" s="4" t="s">
        <v>245</v>
      </c>
      <c r="D262" s="4" t="s">
        <v>67</v>
      </c>
      <c r="F262" s="73">
        <v>0</v>
      </c>
      <c r="G262" s="73"/>
      <c r="H262" s="73">
        <v>201053.6</v>
      </c>
      <c r="I262" s="73"/>
      <c r="J262" s="73">
        <v>217.41</v>
      </c>
      <c r="K262" s="73"/>
      <c r="L262" s="73">
        <v>1277.5</v>
      </c>
      <c r="M262" s="73"/>
      <c r="N262" s="73">
        <v>0</v>
      </c>
      <c r="O262" s="73"/>
      <c r="P262" s="73">
        <v>0</v>
      </c>
      <c r="Q262" s="73"/>
      <c r="R262" s="73">
        <v>9918.9699999999993</v>
      </c>
      <c r="S262" s="73"/>
      <c r="T262" s="73">
        <v>14083.11</v>
      </c>
      <c r="U262" s="73"/>
      <c r="V262" s="73">
        <v>145.11000000000001</v>
      </c>
      <c r="W262" s="73"/>
      <c r="X262" s="73">
        <v>155</v>
      </c>
      <c r="Y262" s="73"/>
      <c r="Z262" s="73">
        <v>0</v>
      </c>
      <c r="AA262" s="73"/>
      <c r="AB262" s="73">
        <v>0</v>
      </c>
      <c r="AC262" s="73"/>
      <c r="AD262" s="73">
        <v>0</v>
      </c>
      <c r="AE262" s="73"/>
      <c r="AF262" s="73">
        <v>0</v>
      </c>
      <c r="AG262" s="73"/>
      <c r="AH262" s="73">
        <f>SUM(F262:AF262)</f>
        <v>226850.7</v>
      </c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</row>
    <row r="263" spans="1:66" s="4" customFormat="1">
      <c r="A263" s="4">
        <v>30</v>
      </c>
      <c r="B263" s="4" t="s">
        <v>343</v>
      </c>
      <c r="D263" s="4" t="s">
        <v>60</v>
      </c>
      <c r="F263" s="6">
        <v>97152.14</v>
      </c>
      <c r="G263" s="6"/>
      <c r="H263" s="6">
        <v>251112.5</v>
      </c>
      <c r="I263" s="6"/>
      <c r="J263" s="6">
        <v>15731.92</v>
      </c>
      <c r="K263" s="6"/>
      <c r="L263" s="6">
        <v>7350.48</v>
      </c>
      <c r="M263" s="6"/>
      <c r="N263" s="6">
        <v>0</v>
      </c>
      <c r="O263" s="6"/>
      <c r="P263" s="6">
        <v>0</v>
      </c>
      <c r="Q263" s="6"/>
      <c r="R263" s="6">
        <v>61443.99</v>
      </c>
      <c r="S263" s="6"/>
      <c r="T263" s="6">
        <v>2941.4</v>
      </c>
      <c r="U263" s="6"/>
      <c r="V263" s="6">
        <v>51561.75</v>
      </c>
      <c r="W263" s="6"/>
      <c r="X263" s="6">
        <v>0</v>
      </c>
      <c r="Y263" s="6"/>
      <c r="Z263" s="6">
        <v>45715.99</v>
      </c>
      <c r="AA263" s="6"/>
      <c r="AB263" s="6">
        <v>0</v>
      </c>
      <c r="AC263" s="6"/>
      <c r="AD263" s="6">
        <v>0</v>
      </c>
      <c r="AE263" s="6"/>
      <c r="AF263" s="6">
        <v>20140.5</v>
      </c>
      <c r="AG263" s="6"/>
      <c r="AH263" s="6">
        <f>SUM(F263:AF263)</f>
        <v>553150.67000000004</v>
      </c>
    </row>
    <row r="264" spans="1:66" s="4" customFormat="1">
      <c r="A264" s="4">
        <v>43</v>
      </c>
      <c r="B264" s="4" t="s">
        <v>246</v>
      </c>
      <c r="D264" s="4" t="s">
        <v>49</v>
      </c>
      <c r="F264" s="4">
        <v>322704</v>
      </c>
      <c r="H264" s="4">
        <v>718041</v>
      </c>
      <c r="J264" s="4">
        <v>48381</v>
      </c>
      <c r="L264" s="4">
        <v>30893</v>
      </c>
      <c r="N264" s="4">
        <v>0</v>
      </c>
      <c r="P264" s="4">
        <v>0</v>
      </c>
      <c r="R264" s="4">
        <v>15029</v>
      </c>
      <c r="T264" s="4">
        <v>1689</v>
      </c>
      <c r="V264" s="4">
        <v>10427</v>
      </c>
      <c r="X264" s="4">
        <v>0</v>
      </c>
      <c r="Z264" s="4">
        <v>0</v>
      </c>
      <c r="AB264" s="4">
        <v>0</v>
      </c>
      <c r="AD264" s="4">
        <v>0</v>
      </c>
      <c r="AF264" s="4">
        <v>0</v>
      </c>
      <c r="AH264" s="4">
        <f t="shared" si="9"/>
        <v>1147164</v>
      </c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</row>
    <row r="265" spans="1:66" s="4" customFormat="1">
      <c r="A265" s="4">
        <v>244</v>
      </c>
      <c r="B265" s="4" t="s">
        <v>247</v>
      </c>
      <c r="D265" s="4" t="s">
        <v>52</v>
      </c>
      <c r="F265" s="1">
        <v>485527</v>
      </c>
      <c r="G265" s="1"/>
      <c r="H265" s="1">
        <v>585881</v>
      </c>
      <c r="I265" s="1"/>
      <c r="J265" s="4">
        <v>0</v>
      </c>
      <c r="K265" s="1"/>
      <c r="L265" s="1">
        <v>6455</v>
      </c>
      <c r="M265" s="1"/>
      <c r="N265" s="1">
        <v>0</v>
      </c>
      <c r="O265" s="1"/>
      <c r="P265" s="4">
        <v>0</v>
      </c>
      <c r="R265" s="1">
        <v>639</v>
      </c>
      <c r="S265" s="1"/>
      <c r="T265" s="1">
        <f>4401+373</f>
        <v>4774</v>
      </c>
      <c r="U265" s="1"/>
      <c r="V265" s="1">
        <v>30</v>
      </c>
      <c r="X265" s="4">
        <v>0</v>
      </c>
      <c r="Z265" s="4">
        <v>0</v>
      </c>
      <c r="AB265" s="4">
        <v>0</v>
      </c>
      <c r="AD265" s="4">
        <v>0</v>
      </c>
      <c r="AF265" s="4">
        <v>0</v>
      </c>
      <c r="AH265" s="4">
        <f t="shared" si="9"/>
        <v>1083306</v>
      </c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</row>
    <row r="266" spans="1:66" s="4" customFormat="1">
      <c r="A266" s="4">
        <v>69</v>
      </c>
      <c r="B266" s="4" t="s">
        <v>313</v>
      </c>
      <c r="D266" s="4" t="s">
        <v>165</v>
      </c>
      <c r="F266" s="1">
        <v>1368681</v>
      </c>
      <c r="G266" s="1"/>
      <c r="H266" s="1">
        <v>1458962</v>
      </c>
      <c r="I266" s="1"/>
      <c r="J266" s="4">
        <v>208208</v>
      </c>
      <c r="K266" s="1"/>
      <c r="L266" s="1">
        <v>60142</v>
      </c>
      <c r="M266" s="1"/>
      <c r="N266" s="1">
        <v>0</v>
      </c>
      <c r="O266" s="1"/>
      <c r="P266" s="1">
        <v>1000</v>
      </c>
      <c r="R266" s="1">
        <v>62185</v>
      </c>
      <c r="T266" s="4">
        <v>117862</v>
      </c>
      <c r="V266" s="4">
        <v>34471</v>
      </c>
      <c r="X266" s="4">
        <v>0</v>
      </c>
      <c r="Z266" s="4">
        <v>173984</v>
      </c>
      <c r="AB266" s="4">
        <v>0</v>
      </c>
      <c r="AD266" s="4">
        <v>0</v>
      </c>
      <c r="AF266" s="4">
        <v>0</v>
      </c>
      <c r="AH266" s="4">
        <f t="shared" si="9"/>
        <v>3485495</v>
      </c>
    </row>
    <row r="267" spans="1:66" s="4" customFormat="1">
      <c r="A267" s="4">
        <v>177</v>
      </c>
      <c r="B267" s="4" t="s">
        <v>248</v>
      </c>
      <c r="D267" s="4" t="s">
        <v>66</v>
      </c>
      <c r="F267" s="6">
        <v>0</v>
      </c>
      <c r="G267" s="6"/>
      <c r="H267" s="6">
        <v>218872.49</v>
      </c>
      <c r="I267" s="6"/>
      <c r="J267" s="6">
        <v>0</v>
      </c>
      <c r="K267" s="6"/>
      <c r="L267" s="6">
        <v>8131.48</v>
      </c>
      <c r="M267" s="6"/>
      <c r="N267" s="6">
        <v>0</v>
      </c>
      <c r="O267" s="6"/>
      <c r="P267" s="6">
        <v>0</v>
      </c>
      <c r="Q267" s="6"/>
      <c r="R267" s="6">
        <v>1590</v>
      </c>
      <c r="S267" s="6"/>
      <c r="T267" s="6">
        <v>1119.6400000000001</v>
      </c>
      <c r="U267" s="6"/>
      <c r="V267" s="6">
        <v>0</v>
      </c>
      <c r="W267" s="6"/>
      <c r="X267" s="6">
        <v>0</v>
      </c>
      <c r="Y267" s="6"/>
      <c r="Z267" s="6">
        <v>0</v>
      </c>
      <c r="AA267" s="6"/>
      <c r="AB267" s="6">
        <v>0</v>
      </c>
      <c r="AC267" s="6"/>
      <c r="AD267" s="6">
        <v>0</v>
      </c>
      <c r="AE267" s="6"/>
      <c r="AF267" s="6">
        <v>0</v>
      </c>
      <c r="AG267" s="6"/>
      <c r="AH267" s="6">
        <f>SUM(F267:AF267)</f>
        <v>229713.61000000002</v>
      </c>
    </row>
    <row r="268" spans="1:66" s="4" customFormat="1">
      <c r="A268" s="4">
        <v>206</v>
      </c>
      <c r="B268" s="4" t="s">
        <v>249</v>
      </c>
      <c r="D268" s="4" t="s">
        <v>43</v>
      </c>
      <c r="F268" s="6">
        <v>0</v>
      </c>
      <c r="G268" s="6"/>
      <c r="H268" s="6">
        <v>136285.43</v>
      </c>
      <c r="I268" s="6"/>
      <c r="J268" s="6">
        <v>2496</v>
      </c>
      <c r="K268" s="6"/>
      <c r="L268" s="6">
        <v>1071.99</v>
      </c>
      <c r="M268" s="6"/>
      <c r="N268" s="6">
        <v>0</v>
      </c>
      <c r="O268" s="6"/>
      <c r="P268" s="6">
        <v>0</v>
      </c>
      <c r="Q268" s="6"/>
      <c r="R268" s="6">
        <v>27872.16</v>
      </c>
      <c r="S268" s="6"/>
      <c r="T268" s="6">
        <v>96.85</v>
      </c>
      <c r="U268" s="6"/>
      <c r="V268" s="6">
        <v>1544.94</v>
      </c>
      <c r="W268" s="6"/>
      <c r="X268" s="6">
        <v>0</v>
      </c>
      <c r="Y268" s="6"/>
      <c r="Z268" s="6">
        <v>4232.82</v>
      </c>
      <c r="AA268" s="6"/>
      <c r="AB268" s="6">
        <v>1300</v>
      </c>
      <c r="AC268" s="6"/>
      <c r="AD268" s="6">
        <v>0</v>
      </c>
      <c r="AE268" s="6"/>
      <c r="AF268" s="6">
        <v>0</v>
      </c>
      <c r="AG268" s="6"/>
      <c r="AH268" s="6">
        <f>SUM(F268:AF268)</f>
        <v>174900.19</v>
      </c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</row>
    <row r="269" spans="1:66" s="4" customFormat="1">
      <c r="A269" s="4">
        <v>57</v>
      </c>
      <c r="B269" s="4" t="s">
        <v>250</v>
      </c>
      <c r="D269" s="4" t="s">
        <v>17</v>
      </c>
      <c r="F269" s="4">
        <v>2913920</v>
      </c>
      <c r="H269" s="4">
        <v>1446094</v>
      </c>
      <c r="J269" s="4">
        <v>534310</v>
      </c>
      <c r="L269" s="4">
        <v>128780</v>
      </c>
      <c r="N269" s="4">
        <v>0</v>
      </c>
      <c r="P269" s="4">
        <v>0</v>
      </c>
      <c r="R269" s="4">
        <v>54029</v>
      </c>
      <c r="T269" s="4">
        <v>2978</v>
      </c>
      <c r="V269" s="4">
        <v>79349</v>
      </c>
      <c r="X269" s="4">
        <v>0</v>
      </c>
      <c r="Z269" s="4">
        <v>55133</v>
      </c>
      <c r="AB269" s="4">
        <v>4000</v>
      </c>
      <c r="AD269" s="4">
        <v>0</v>
      </c>
      <c r="AF269" s="4">
        <v>0</v>
      </c>
      <c r="AH269" s="4">
        <f t="shared" si="9"/>
        <v>5218593</v>
      </c>
    </row>
    <row r="270" spans="1:66" s="4" customFormat="1">
      <c r="A270" s="4">
        <v>118</v>
      </c>
      <c r="B270" s="4" t="s">
        <v>440</v>
      </c>
      <c r="D270" s="4" t="s">
        <v>168</v>
      </c>
      <c r="F270" s="4">
        <v>0</v>
      </c>
      <c r="H270" s="4">
        <v>0</v>
      </c>
      <c r="J270" s="4">
        <v>207991</v>
      </c>
      <c r="L270" s="4">
        <v>3375</v>
      </c>
      <c r="N270" s="4">
        <v>0</v>
      </c>
      <c r="P270" s="4">
        <v>0</v>
      </c>
      <c r="R270" s="4">
        <v>0</v>
      </c>
      <c r="T270" s="4">
        <v>1035</v>
      </c>
      <c r="V270" s="4">
        <v>472</v>
      </c>
      <c r="X270" s="4">
        <v>0</v>
      </c>
      <c r="Z270" s="4">
        <v>0</v>
      </c>
      <c r="AB270" s="4">
        <v>0</v>
      </c>
      <c r="AD270" s="4">
        <v>0</v>
      </c>
      <c r="AF270" s="4">
        <v>0</v>
      </c>
      <c r="AH270" s="4">
        <f t="shared" si="9"/>
        <v>212873</v>
      </c>
    </row>
    <row r="271" spans="1:66" s="4" customFormat="1">
      <c r="A271" s="4">
        <v>79</v>
      </c>
      <c r="B271" s="4" t="s">
        <v>252</v>
      </c>
      <c r="D271" s="4" t="s">
        <v>90</v>
      </c>
      <c r="F271" s="1">
        <v>2543755</v>
      </c>
      <c r="G271" s="1"/>
      <c r="H271" s="1">
        <v>3319230</v>
      </c>
      <c r="I271" s="1"/>
      <c r="J271" s="4">
        <v>0</v>
      </c>
      <c r="L271" s="1">
        <v>149942</v>
      </c>
      <c r="M271" s="1"/>
      <c r="N271" s="1">
        <v>0</v>
      </c>
      <c r="O271" s="1"/>
      <c r="P271" s="1">
        <v>0</v>
      </c>
      <c r="Q271" s="1"/>
      <c r="R271" s="1">
        <v>9760</v>
      </c>
      <c r="S271" s="1"/>
      <c r="T271" s="1">
        <v>553</v>
      </c>
      <c r="U271" s="1"/>
      <c r="V271" s="1">
        <v>54526</v>
      </c>
      <c r="X271" s="4">
        <v>0</v>
      </c>
      <c r="Z271" s="4">
        <v>1600000</v>
      </c>
      <c r="AB271" s="4">
        <v>0</v>
      </c>
      <c r="AD271" s="4">
        <v>0</v>
      </c>
      <c r="AF271" s="4">
        <v>0</v>
      </c>
      <c r="AH271" s="4">
        <f t="shared" si="9"/>
        <v>7677766</v>
      </c>
    </row>
    <row r="272" spans="1:66" s="4" customFormat="1">
      <c r="A272" s="4">
        <v>22</v>
      </c>
      <c r="B272" s="4" t="s">
        <v>314</v>
      </c>
      <c r="D272" s="4" t="s">
        <v>11</v>
      </c>
      <c r="F272" s="6">
        <v>0</v>
      </c>
      <c r="G272" s="6"/>
      <c r="H272" s="6">
        <v>408272</v>
      </c>
      <c r="I272" s="6"/>
      <c r="J272" s="6">
        <v>0</v>
      </c>
      <c r="K272" s="6"/>
      <c r="L272" s="6">
        <v>12260.36</v>
      </c>
      <c r="M272" s="6"/>
      <c r="N272" s="6">
        <v>0</v>
      </c>
      <c r="O272" s="6"/>
      <c r="P272" s="6">
        <v>0</v>
      </c>
      <c r="Q272" s="6"/>
      <c r="R272" s="6">
        <v>5926.25</v>
      </c>
      <c r="S272" s="6"/>
      <c r="T272" s="6">
        <v>594.87</v>
      </c>
      <c r="U272" s="6"/>
      <c r="V272" s="6">
        <v>57.69</v>
      </c>
      <c r="W272" s="6"/>
      <c r="X272" s="6">
        <v>0</v>
      </c>
      <c r="Y272" s="6"/>
      <c r="Z272" s="6">
        <v>0</v>
      </c>
      <c r="AA272" s="6"/>
      <c r="AB272" s="6">
        <v>0</v>
      </c>
      <c r="AC272" s="6"/>
      <c r="AD272" s="6">
        <v>0</v>
      </c>
      <c r="AE272" s="6"/>
      <c r="AF272" s="6">
        <v>0</v>
      </c>
      <c r="AG272" s="6"/>
      <c r="AH272" s="6">
        <f>SUM(F272:AF272)</f>
        <v>427111.17</v>
      </c>
    </row>
    <row r="273" spans="1:66" s="4" customFormat="1">
      <c r="A273" s="4">
        <v>18</v>
      </c>
      <c r="B273" s="4" t="s">
        <v>340</v>
      </c>
      <c r="D273" s="4" t="s">
        <v>42</v>
      </c>
      <c r="F273" s="6">
        <v>160114.82999999999</v>
      </c>
      <c r="G273" s="6"/>
      <c r="H273" s="6">
        <v>424627.11</v>
      </c>
      <c r="I273" s="6"/>
      <c r="J273" s="6">
        <v>23701.05</v>
      </c>
      <c r="K273" s="6"/>
      <c r="L273" s="6">
        <v>10131.18</v>
      </c>
      <c r="M273" s="6"/>
      <c r="N273" s="6">
        <v>0</v>
      </c>
      <c r="O273" s="6"/>
      <c r="P273" s="6">
        <v>0</v>
      </c>
      <c r="Q273" s="6"/>
      <c r="R273" s="6">
        <v>10946.59</v>
      </c>
      <c r="S273" s="6"/>
      <c r="T273" s="6">
        <v>9.32</v>
      </c>
      <c r="U273" s="6"/>
      <c r="V273" s="6">
        <v>15537.4</v>
      </c>
      <c r="W273" s="6"/>
      <c r="X273" s="6">
        <v>0</v>
      </c>
      <c r="Y273" s="6"/>
      <c r="Z273" s="6">
        <v>0</v>
      </c>
      <c r="AA273" s="6"/>
      <c r="AB273" s="6">
        <v>24000</v>
      </c>
      <c r="AC273" s="6"/>
      <c r="AD273" s="6">
        <v>0</v>
      </c>
      <c r="AE273" s="6"/>
      <c r="AF273" s="6">
        <v>0</v>
      </c>
      <c r="AG273" s="6"/>
      <c r="AH273" s="6">
        <f>SUM(F273:AF273)</f>
        <v>669067.48</v>
      </c>
    </row>
    <row r="274" spans="1:66" s="4" customFormat="1">
      <c r="A274" s="4">
        <v>215</v>
      </c>
      <c r="B274" s="4" t="s">
        <v>581</v>
      </c>
      <c r="D274" s="4" t="s">
        <v>23</v>
      </c>
      <c r="F274" s="1">
        <v>4095536</v>
      </c>
      <c r="G274" s="1"/>
      <c r="H274" s="1">
        <v>6678554</v>
      </c>
      <c r="I274" s="1"/>
      <c r="J274" s="4">
        <v>1084978</v>
      </c>
      <c r="K274" s="1"/>
      <c r="L274" s="1">
        <v>236599</v>
      </c>
      <c r="M274" s="1"/>
      <c r="N274" s="1">
        <v>0</v>
      </c>
      <c r="P274" s="1">
        <v>58547</v>
      </c>
      <c r="R274" s="4">
        <v>71694</v>
      </c>
      <c r="T274" s="4">
        <v>5199</v>
      </c>
      <c r="V274" s="4">
        <v>80525</v>
      </c>
      <c r="X274" s="4">
        <v>0</v>
      </c>
      <c r="Z274" s="4">
        <v>500000</v>
      </c>
      <c r="AB274" s="4">
        <v>0</v>
      </c>
      <c r="AD274" s="4">
        <v>0</v>
      </c>
      <c r="AF274" s="4">
        <v>0</v>
      </c>
      <c r="AH274" s="4">
        <f t="shared" si="9"/>
        <v>12811632</v>
      </c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</row>
    <row r="275" spans="1:66" s="4" customFormat="1">
      <c r="A275" s="4">
        <v>120</v>
      </c>
      <c r="B275" s="4" t="s">
        <v>254</v>
      </c>
      <c r="D275" s="4" t="s">
        <v>255</v>
      </c>
      <c r="F275" s="6">
        <v>0</v>
      </c>
      <c r="G275" s="6"/>
      <c r="H275" s="6">
        <v>2334975.33</v>
      </c>
      <c r="I275" s="6"/>
      <c r="J275" s="6">
        <v>1207444.4099999999</v>
      </c>
      <c r="K275" s="6"/>
      <c r="L275" s="6">
        <v>76996.14</v>
      </c>
      <c r="M275" s="6"/>
      <c r="N275" s="6">
        <v>0</v>
      </c>
      <c r="O275" s="6"/>
      <c r="P275" s="6">
        <v>4500</v>
      </c>
      <c r="Q275" s="6"/>
      <c r="R275" s="6">
        <v>2115.39</v>
      </c>
      <c r="S275" s="6"/>
      <c r="T275" s="6">
        <v>6013.24</v>
      </c>
      <c r="U275" s="6"/>
      <c r="V275" s="6">
        <v>47909.13</v>
      </c>
      <c r="W275" s="6"/>
      <c r="X275" s="6">
        <v>2004</v>
      </c>
      <c r="Y275" s="6"/>
      <c r="Z275" s="6">
        <v>120000</v>
      </c>
      <c r="AA275" s="6"/>
      <c r="AB275" s="6">
        <v>0</v>
      </c>
      <c r="AC275" s="6"/>
      <c r="AD275" s="6">
        <v>0</v>
      </c>
      <c r="AE275" s="6"/>
      <c r="AF275" s="6">
        <v>0</v>
      </c>
      <c r="AG275" s="6"/>
      <c r="AH275" s="6">
        <f>SUM(F275:AF275)</f>
        <v>3801957.6400000006</v>
      </c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</row>
    <row r="276" spans="1:66" s="4" customFormat="1">
      <c r="A276" s="4">
        <v>220</v>
      </c>
      <c r="B276" s="4" t="s">
        <v>256</v>
      </c>
      <c r="D276" s="4" t="s">
        <v>20</v>
      </c>
      <c r="F276" s="1">
        <v>1739971</v>
      </c>
      <c r="G276" s="1"/>
      <c r="H276" s="1">
        <v>0</v>
      </c>
      <c r="I276" s="1"/>
      <c r="J276" s="1">
        <v>1251835</v>
      </c>
      <c r="K276" s="1"/>
      <c r="L276" s="1">
        <v>80785</v>
      </c>
      <c r="M276" s="1"/>
      <c r="N276" s="1">
        <v>0</v>
      </c>
      <c r="O276" s="1"/>
      <c r="P276" s="1">
        <v>0</v>
      </c>
      <c r="Q276" s="1"/>
      <c r="R276" s="1">
        <v>1326</v>
      </c>
      <c r="S276" s="1"/>
      <c r="T276" s="1">
        <v>339</v>
      </c>
      <c r="U276" s="1"/>
      <c r="V276" s="1">
        <v>28825</v>
      </c>
      <c r="X276" s="4">
        <v>0</v>
      </c>
      <c r="Z276" s="4">
        <v>240000</v>
      </c>
      <c r="AB276" s="4">
        <v>0</v>
      </c>
      <c r="AD276" s="4">
        <v>0</v>
      </c>
      <c r="AF276" s="4">
        <v>0</v>
      </c>
      <c r="AH276" s="4">
        <f t="shared" si="9"/>
        <v>3343081</v>
      </c>
    </row>
    <row r="277" spans="1:66" s="4" customFormat="1">
      <c r="A277" s="4">
        <v>86</v>
      </c>
      <c r="B277" s="4" t="s">
        <v>257</v>
      </c>
      <c r="D277" s="4" t="s">
        <v>40</v>
      </c>
      <c r="F277" s="6">
        <v>375597.07</v>
      </c>
      <c r="G277" s="6"/>
      <c r="H277" s="6">
        <v>0</v>
      </c>
      <c r="I277" s="6"/>
      <c r="J277" s="6">
        <v>2375.96</v>
      </c>
      <c r="K277" s="6"/>
      <c r="L277" s="6">
        <v>12636.88</v>
      </c>
      <c r="M277" s="6"/>
      <c r="N277" s="6">
        <v>0</v>
      </c>
      <c r="O277" s="6"/>
      <c r="P277" s="6">
        <v>0</v>
      </c>
      <c r="Q277" s="6"/>
      <c r="R277" s="6">
        <v>9696.64</v>
      </c>
      <c r="S277" s="6"/>
      <c r="T277" s="6">
        <v>1864.33</v>
      </c>
      <c r="U277" s="6"/>
      <c r="V277" s="6">
        <v>5065.88</v>
      </c>
      <c r="W277" s="6"/>
      <c r="X277" s="6">
        <v>0</v>
      </c>
      <c r="Y277" s="6"/>
      <c r="Z277" s="6">
        <v>0</v>
      </c>
      <c r="AA277" s="6"/>
      <c r="AB277" s="6">
        <v>0</v>
      </c>
      <c r="AC277" s="6"/>
      <c r="AD277" s="6">
        <v>0</v>
      </c>
      <c r="AE277" s="6"/>
      <c r="AF277" s="6">
        <v>0</v>
      </c>
      <c r="AG277" s="6"/>
      <c r="AH277" s="6">
        <f>SUM(F277:AF277)</f>
        <v>407236.76000000007</v>
      </c>
    </row>
    <row r="278" spans="1:66" s="4" customFormat="1">
      <c r="A278" s="4">
        <v>119</v>
      </c>
      <c r="B278" s="4" t="s">
        <v>258</v>
      </c>
      <c r="D278" s="4" t="s">
        <v>168</v>
      </c>
      <c r="F278" s="6">
        <v>0</v>
      </c>
      <c r="G278" s="6"/>
      <c r="H278" s="6">
        <v>354805.51</v>
      </c>
      <c r="I278" s="6"/>
      <c r="J278" s="6">
        <v>3900</v>
      </c>
      <c r="K278" s="6"/>
      <c r="L278" s="6">
        <v>12799.42</v>
      </c>
      <c r="M278" s="6"/>
      <c r="N278" s="6">
        <v>0</v>
      </c>
      <c r="O278" s="6"/>
      <c r="P278" s="6">
        <v>0</v>
      </c>
      <c r="Q278" s="6"/>
      <c r="R278" s="6">
        <v>9891.11</v>
      </c>
      <c r="S278" s="6"/>
      <c r="T278" s="6">
        <v>17381.61</v>
      </c>
      <c r="U278" s="6"/>
      <c r="V278" s="6">
        <v>811.23</v>
      </c>
      <c r="W278" s="6"/>
      <c r="X278" s="6">
        <v>0</v>
      </c>
      <c r="Y278" s="6"/>
      <c r="Z278" s="6">
        <v>0</v>
      </c>
      <c r="AA278" s="6"/>
      <c r="AB278" s="6">
        <v>0</v>
      </c>
      <c r="AC278" s="6"/>
      <c r="AD278" s="6">
        <v>0</v>
      </c>
      <c r="AE278" s="6"/>
      <c r="AF278" s="6">
        <v>0</v>
      </c>
      <c r="AG278" s="6"/>
      <c r="AH278" s="6">
        <f>SUM(F278:AF278)</f>
        <v>399588.87999999995</v>
      </c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</row>
    <row r="279" spans="1:66" s="4" customFormat="1" hidden="1">
      <c r="A279" s="4">
        <v>221</v>
      </c>
      <c r="B279" s="4" t="s">
        <v>259</v>
      </c>
      <c r="D279" s="4" t="s">
        <v>20</v>
      </c>
      <c r="AH279" s="4">
        <f t="shared" si="9"/>
        <v>0</v>
      </c>
    </row>
    <row r="280" spans="1:66" s="4" customFormat="1" hidden="1">
      <c r="A280" s="39">
        <v>92.1</v>
      </c>
      <c r="B280" s="4" t="s">
        <v>568</v>
      </c>
      <c r="C280" s="3"/>
      <c r="D280" s="3" t="s">
        <v>569</v>
      </c>
      <c r="E280" s="3"/>
      <c r="AH280" s="4">
        <f t="shared" si="9"/>
        <v>0</v>
      </c>
    </row>
    <row r="281" spans="1:66" s="4" customFormat="1" hidden="1">
      <c r="A281" s="4">
        <v>71</v>
      </c>
      <c r="B281" s="4" t="s">
        <v>565</v>
      </c>
      <c r="D281" s="4" t="s">
        <v>65</v>
      </c>
      <c r="AH281" s="4">
        <f t="shared" si="9"/>
        <v>0</v>
      </c>
    </row>
    <row r="282" spans="1:66" s="7" customFormat="1">
      <c r="A282" s="4">
        <v>207</v>
      </c>
      <c r="B282" s="4" t="s">
        <v>260</v>
      </c>
      <c r="C282" s="4"/>
      <c r="D282" s="4" t="s">
        <v>43</v>
      </c>
      <c r="E282" s="4"/>
      <c r="F282" s="6">
        <v>491650.69</v>
      </c>
      <c r="G282" s="6"/>
      <c r="H282" s="6">
        <v>918644.07</v>
      </c>
      <c r="I282" s="6"/>
      <c r="J282" s="6">
        <v>74087.25</v>
      </c>
      <c r="K282" s="6"/>
      <c r="L282" s="6">
        <v>43278.559999999998</v>
      </c>
      <c r="M282" s="6"/>
      <c r="N282" s="6">
        <v>0</v>
      </c>
      <c r="O282" s="6"/>
      <c r="P282" s="6">
        <v>0</v>
      </c>
      <c r="Q282" s="6"/>
      <c r="R282" s="6">
        <v>29184.53</v>
      </c>
      <c r="S282" s="6"/>
      <c r="T282" s="6">
        <v>4343</v>
      </c>
      <c r="U282" s="6"/>
      <c r="V282" s="6">
        <v>1987.66</v>
      </c>
      <c r="W282" s="6"/>
      <c r="X282" s="6">
        <v>0</v>
      </c>
      <c r="Y282" s="6"/>
      <c r="Z282" s="6">
        <v>0</v>
      </c>
      <c r="AA282" s="6"/>
      <c r="AB282" s="6">
        <v>0</v>
      </c>
      <c r="AC282" s="6"/>
      <c r="AD282" s="6">
        <v>0</v>
      </c>
      <c r="AE282" s="6"/>
      <c r="AF282" s="6">
        <v>0</v>
      </c>
      <c r="AG282" s="6"/>
      <c r="AH282" s="6">
        <f>SUM(F282:AF282)</f>
        <v>1563175.76</v>
      </c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</row>
    <row r="283" spans="1:66" s="4" customFormat="1">
      <c r="A283" s="4">
        <v>166</v>
      </c>
      <c r="B283" s="4" t="s">
        <v>441</v>
      </c>
      <c r="D283" s="4" t="s">
        <v>51</v>
      </c>
      <c r="F283" s="1">
        <v>283227</v>
      </c>
      <c r="H283" s="4">
        <v>0</v>
      </c>
      <c r="J283" s="1">
        <v>463822</v>
      </c>
      <c r="L283" s="1">
        <v>12645</v>
      </c>
      <c r="N283" s="4">
        <v>0</v>
      </c>
      <c r="P283" s="4">
        <v>0</v>
      </c>
      <c r="R283" s="1">
        <v>28208</v>
      </c>
      <c r="T283" s="1">
        <v>1635</v>
      </c>
      <c r="V283" s="1">
        <v>9199</v>
      </c>
      <c r="X283" s="4">
        <v>0</v>
      </c>
      <c r="Z283" s="4">
        <v>60000</v>
      </c>
      <c r="AB283" s="4">
        <v>0</v>
      </c>
      <c r="AD283" s="4">
        <v>0</v>
      </c>
      <c r="AF283" s="4">
        <v>0</v>
      </c>
      <c r="AH283" s="4">
        <f t="shared" si="9"/>
        <v>858736</v>
      </c>
    </row>
    <row r="284" spans="1:66" s="4" customFormat="1">
      <c r="A284" s="4">
        <v>147</v>
      </c>
      <c r="B284" s="4" t="s">
        <v>597</v>
      </c>
      <c r="D284" s="4" t="s">
        <v>262</v>
      </c>
      <c r="F284" s="4">
        <v>13574482</v>
      </c>
      <c r="H284" s="4">
        <v>0</v>
      </c>
      <c r="J284" s="4">
        <v>19723122</v>
      </c>
      <c r="L284" s="4">
        <v>777717</v>
      </c>
      <c r="N284" s="4">
        <v>0</v>
      </c>
      <c r="P284" s="4">
        <v>77042</v>
      </c>
      <c r="R284" s="4">
        <v>91320</v>
      </c>
      <c r="T284" s="4">
        <v>33845</v>
      </c>
      <c r="V284" s="4">
        <v>89637</v>
      </c>
      <c r="X284" s="4">
        <v>0</v>
      </c>
      <c r="Z284" s="4">
        <v>2000000</v>
      </c>
      <c r="AB284" s="4">
        <v>0</v>
      </c>
      <c r="AD284" s="4">
        <v>0</v>
      </c>
      <c r="AF284" s="4">
        <v>0</v>
      </c>
      <c r="AH284" s="4">
        <f t="shared" si="9"/>
        <v>36367165</v>
      </c>
    </row>
    <row r="285" spans="1:66" s="4" customFormat="1">
      <c r="A285" s="4">
        <v>167</v>
      </c>
      <c r="B285" s="4" t="s">
        <v>598</v>
      </c>
      <c r="D285" s="4" t="s">
        <v>51</v>
      </c>
      <c r="F285" s="1">
        <v>630500</v>
      </c>
      <c r="H285" s="1">
        <v>1232712</v>
      </c>
      <c r="J285" s="4">
        <v>0</v>
      </c>
      <c r="L285" s="1">
        <v>44784</v>
      </c>
      <c r="N285" s="4">
        <v>0</v>
      </c>
      <c r="P285" s="4">
        <v>0</v>
      </c>
      <c r="R285" s="1">
        <v>99423</v>
      </c>
      <c r="T285" s="1">
        <v>16828</v>
      </c>
      <c r="V285" s="1">
        <v>12866</v>
      </c>
      <c r="X285" s="4">
        <v>0</v>
      </c>
      <c r="Z285" s="4">
        <v>104000</v>
      </c>
      <c r="AB285" s="4">
        <v>0</v>
      </c>
      <c r="AD285" s="4">
        <v>0</v>
      </c>
      <c r="AF285" s="4">
        <v>0</v>
      </c>
      <c r="AH285" s="4">
        <f t="shared" si="9"/>
        <v>2141113</v>
      </c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</row>
    <row r="286" spans="1:66" s="4" customFormat="1">
      <c r="A286" s="4">
        <v>236</v>
      </c>
      <c r="B286" s="4" t="s">
        <v>599</v>
      </c>
      <c r="D286" s="4" t="s">
        <v>24</v>
      </c>
      <c r="F286" s="4">
        <v>515390</v>
      </c>
      <c r="H286" s="4">
        <v>0</v>
      </c>
      <c r="J286" s="4">
        <v>1417296</v>
      </c>
      <c r="L286" s="4">
        <v>55666</v>
      </c>
      <c r="N286" s="4">
        <v>0</v>
      </c>
      <c r="P286" s="4">
        <v>0</v>
      </c>
      <c r="R286" s="4">
        <v>52622</v>
      </c>
      <c r="T286" s="4">
        <v>1687</v>
      </c>
      <c r="V286" s="4">
        <v>1404</v>
      </c>
      <c r="X286" s="4">
        <v>0</v>
      </c>
      <c r="Z286" s="4">
        <v>121379</v>
      </c>
      <c r="AB286" s="4">
        <v>9600</v>
      </c>
      <c r="AD286" s="4">
        <v>0</v>
      </c>
      <c r="AF286" s="4">
        <v>0</v>
      </c>
      <c r="AH286" s="4">
        <f t="shared" ref="AH286:AH310" si="10">SUM(F286:AD286)</f>
        <v>2175044</v>
      </c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</row>
    <row r="287" spans="1:66" s="4" customFormat="1">
      <c r="A287" s="4">
        <v>222</v>
      </c>
      <c r="B287" s="4" t="s">
        <v>317</v>
      </c>
      <c r="D287" s="4" t="s">
        <v>20</v>
      </c>
      <c r="F287" s="1">
        <v>1375720</v>
      </c>
      <c r="G287" s="1"/>
      <c r="H287" s="1">
        <v>1019116</v>
      </c>
      <c r="I287" s="1"/>
      <c r="J287" s="1">
        <v>297449</v>
      </c>
      <c r="K287" s="1"/>
      <c r="L287" s="1">
        <v>73312</v>
      </c>
      <c r="M287" s="1"/>
      <c r="N287" s="1">
        <v>0</v>
      </c>
      <c r="O287" s="1"/>
      <c r="P287" s="1">
        <v>8100</v>
      </c>
      <c r="Q287" s="1"/>
      <c r="R287" s="1">
        <v>17121</v>
      </c>
      <c r="S287" s="1"/>
      <c r="T287" s="1">
        <v>1449</v>
      </c>
      <c r="U287" s="1"/>
      <c r="V287" s="1">
        <v>9602</v>
      </c>
      <c r="X287" s="4">
        <v>0</v>
      </c>
      <c r="Z287" s="4">
        <v>230500</v>
      </c>
      <c r="AB287" s="4">
        <v>0</v>
      </c>
      <c r="AD287" s="4">
        <v>0</v>
      </c>
      <c r="AF287" s="4">
        <v>0</v>
      </c>
      <c r="AH287" s="4">
        <f t="shared" si="10"/>
        <v>3032369</v>
      </c>
    </row>
    <row r="288" spans="1:66" s="4" customFormat="1">
      <c r="A288" s="4">
        <v>24</v>
      </c>
      <c r="B288" s="4" t="s">
        <v>264</v>
      </c>
      <c r="D288" s="4" t="s">
        <v>45</v>
      </c>
      <c r="F288" s="1">
        <v>167295</v>
      </c>
      <c r="H288" s="1">
        <v>431701</v>
      </c>
      <c r="J288" s="4">
        <v>0</v>
      </c>
      <c r="L288" s="1">
        <v>11132</v>
      </c>
      <c r="N288" s="4">
        <v>0</v>
      </c>
      <c r="P288" s="4">
        <v>0</v>
      </c>
      <c r="R288" s="1">
        <v>9349</v>
      </c>
      <c r="T288" s="1">
        <v>383</v>
      </c>
      <c r="V288" s="1">
        <v>11245</v>
      </c>
      <c r="X288" s="4">
        <v>0</v>
      </c>
      <c r="Z288" s="4">
        <v>0</v>
      </c>
      <c r="AB288" s="4">
        <v>0</v>
      </c>
      <c r="AD288" s="4">
        <v>0</v>
      </c>
      <c r="AF288" s="4">
        <v>0</v>
      </c>
      <c r="AH288" s="4">
        <f t="shared" si="10"/>
        <v>631105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s="4" customFormat="1">
      <c r="B289" s="4" t="s">
        <v>265</v>
      </c>
      <c r="D289" s="4" t="s">
        <v>90</v>
      </c>
      <c r="F289" s="1">
        <v>2705480</v>
      </c>
      <c r="G289" s="1"/>
      <c r="H289" s="1">
        <v>2532539</v>
      </c>
      <c r="I289" s="1"/>
      <c r="J289" s="1">
        <v>405288</v>
      </c>
      <c r="K289" s="1"/>
      <c r="L289" s="1">
        <v>163435</v>
      </c>
      <c r="N289" s="4">
        <v>0</v>
      </c>
      <c r="P289" s="4">
        <v>0</v>
      </c>
      <c r="R289" s="4">
        <v>348243</v>
      </c>
      <c r="T289" s="4">
        <v>29687</v>
      </c>
      <c r="V289" s="4">
        <v>70305</v>
      </c>
      <c r="X289" s="4">
        <v>0</v>
      </c>
      <c r="Z289" s="4">
        <v>0</v>
      </c>
      <c r="AB289" s="4">
        <v>0</v>
      </c>
      <c r="AD289" s="4">
        <v>0</v>
      </c>
      <c r="AF289" s="4">
        <v>0</v>
      </c>
      <c r="AH289" s="4">
        <f t="shared" si="10"/>
        <v>6254977</v>
      </c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</row>
    <row r="290" spans="1:66" s="4" customFormat="1">
      <c r="A290" s="4">
        <v>260</v>
      </c>
      <c r="B290" s="4" t="s">
        <v>266</v>
      </c>
      <c r="D290" s="4" t="s">
        <v>61</v>
      </c>
      <c r="F290" s="6">
        <v>280993.15999999997</v>
      </c>
      <c r="G290" s="6"/>
      <c r="H290" s="6">
        <v>251139.14</v>
      </c>
      <c r="I290" s="6"/>
      <c r="J290" s="6">
        <v>25443.03</v>
      </c>
      <c r="K290" s="6"/>
      <c r="L290" s="6">
        <v>19701.91</v>
      </c>
      <c r="M290" s="6"/>
      <c r="N290" s="6">
        <v>0</v>
      </c>
      <c r="O290" s="6"/>
      <c r="P290" s="6">
        <v>0</v>
      </c>
      <c r="Q290" s="6"/>
      <c r="R290" s="6">
        <v>7953.44</v>
      </c>
      <c r="S290" s="6"/>
      <c r="T290" s="6">
        <v>998.21</v>
      </c>
      <c r="U290" s="6"/>
      <c r="V290" s="6">
        <v>2297.73</v>
      </c>
      <c r="W290" s="6"/>
      <c r="X290" s="6">
        <v>0</v>
      </c>
      <c r="Y290" s="6"/>
      <c r="Z290" s="6">
        <v>0</v>
      </c>
      <c r="AA290" s="6"/>
      <c r="AB290" s="6">
        <v>0</v>
      </c>
      <c r="AC290" s="6"/>
      <c r="AD290" s="6">
        <v>0</v>
      </c>
      <c r="AE290" s="6"/>
      <c r="AF290" s="6">
        <v>0</v>
      </c>
      <c r="AG290" s="6"/>
      <c r="AH290" s="6">
        <f>SUM(F290:AF290)</f>
        <v>588526.62</v>
      </c>
    </row>
    <row r="291" spans="1:66" s="4" customFormat="1">
      <c r="B291" s="4" t="s">
        <v>610</v>
      </c>
      <c r="D291" s="4" t="s">
        <v>65</v>
      </c>
      <c r="F291" s="4">
        <v>0</v>
      </c>
      <c r="H291" s="1">
        <v>290518</v>
      </c>
      <c r="J291" s="1">
        <v>398</v>
      </c>
      <c r="L291" s="1">
        <v>26584</v>
      </c>
      <c r="N291" s="4">
        <v>0</v>
      </c>
      <c r="P291" s="4">
        <v>0</v>
      </c>
      <c r="R291" s="1">
        <v>6503</v>
      </c>
      <c r="T291" s="1">
        <v>353</v>
      </c>
      <c r="V291" s="1">
        <v>1633</v>
      </c>
      <c r="X291" s="4">
        <v>0</v>
      </c>
      <c r="Z291" s="1">
        <v>6799</v>
      </c>
      <c r="AB291" s="4">
        <v>0</v>
      </c>
      <c r="AD291" s="4">
        <v>0</v>
      </c>
      <c r="AF291" s="4">
        <v>0</v>
      </c>
      <c r="AH291" s="4">
        <f t="shared" si="10"/>
        <v>332788</v>
      </c>
    </row>
    <row r="292" spans="1:66" s="4" customFormat="1" hidden="1">
      <c r="A292" s="4">
        <v>230</v>
      </c>
      <c r="B292" s="4" t="s">
        <v>600</v>
      </c>
      <c r="D292" s="4" t="s">
        <v>54</v>
      </c>
      <c r="AH292" s="4">
        <f t="shared" si="10"/>
        <v>0</v>
      </c>
    </row>
    <row r="293" spans="1:66" s="4" customFormat="1">
      <c r="A293" s="4">
        <v>245</v>
      </c>
      <c r="B293" s="4" t="s">
        <v>601</v>
      </c>
      <c r="D293" s="4" t="s">
        <v>25</v>
      </c>
      <c r="F293" s="1">
        <v>1078137</v>
      </c>
      <c r="G293" s="1"/>
      <c r="H293" s="1">
        <v>0</v>
      </c>
      <c r="I293" s="1"/>
      <c r="J293" s="1">
        <v>1886863</v>
      </c>
      <c r="K293" s="1"/>
      <c r="L293" s="1">
        <v>72944</v>
      </c>
      <c r="M293" s="1"/>
      <c r="N293" s="1">
        <v>0</v>
      </c>
      <c r="O293" s="1"/>
      <c r="P293" s="1">
        <v>0</v>
      </c>
      <c r="Q293" s="1"/>
      <c r="R293" s="1">
        <v>27868</v>
      </c>
      <c r="S293" s="1"/>
      <c r="T293" s="1">
        <v>3067</v>
      </c>
      <c r="U293" s="1"/>
      <c r="V293" s="1">
        <v>4099</v>
      </c>
      <c r="W293" s="1"/>
      <c r="X293" s="1">
        <v>0</v>
      </c>
      <c r="Y293" s="1"/>
      <c r="Z293" s="1">
        <v>0</v>
      </c>
      <c r="AA293" s="1"/>
      <c r="AB293" s="1">
        <v>0</v>
      </c>
      <c r="AC293" s="1"/>
      <c r="AD293" s="1">
        <v>19</v>
      </c>
      <c r="AF293" s="4">
        <v>0</v>
      </c>
      <c r="AH293" s="4">
        <f>SUM(F293:AD293)</f>
        <v>3072997</v>
      </c>
    </row>
    <row r="294" spans="1:66" s="4" customFormat="1">
      <c r="A294" s="4">
        <v>171</v>
      </c>
      <c r="B294" s="4" t="s">
        <v>267</v>
      </c>
      <c r="D294" s="4" t="s">
        <v>53</v>
      </c>
      <c r="F294" s="1">
        <v>3370200</v>
      </c>
      <c r="G294" s="1"/>
      <c r="H294" s="1">
        <v>2127746</v>
      </c>
      <c r="I294" s="1"/>
      <c r="J294" s="1">
        <v>547000</v>
      </c>
      <c r="K294" s="1"/>
      <c r="L294" s="1">
        <v>313836</v>
      </c>
      <c r="M294" s="1"/>
      <c r="N294" s="1">
        <v>0</v>
      </c>
      <c r="O294" s="1"/>
      <c r="P294" s="1">
        <v>0</v>
      </c>
      <c r="Q294" s="1"/>
      <c r="R294" s="1">
        <v>12247</v>
      </c>
      <c r="S294" s="1"/>
      <c r="T294" s="1">
        <v>118888</v>
      </c>
      <c r="U294" s="1"/>
      <c r="V294" s="1">
        <v>16439</v>
      </c>
      <c r="W294" s="1"/>
      <c r="X294" s="1">
        <v>0</v>
      </c>
      <c r="Y294" s="1"/>
      <c r="Z294" s="1">
        <v>500000</v>
      </c>
      <c r="AB294" s="4">
        <v>0</v>
      </c>
      <c r="AD294" s="4">
        <v>0</v>
      </c>
      <c r="AF294" s="4">
        <v>0</v>
      </c>
      <c r="AH294" s="4">
        <f t="shared" si="10"/>
        <v>7006356</v>
      </c>
    </row>
    <row r="295" spans="1:66" s="4" customFormat="1">
      <c r="A295" s="4">
        <v>87</v>
      </c>
      <c r="B295" s="4" t="s">
        <v>461</v>
      </c>
      <c r="D295" s="4" t="s">
        <v>40</v>
      </c>
      <c r="F295" s="6">
        <v>25164.98</v>
      </c>
      <c r="G295" s="6"/>
      <c r="H295" s="6">
        <v>300094.94</v>
      </c>
      <c r="I295" s="6"/>
      <c r="J295" s="6">
        <v>4552.54</v>
      </c>
      <c r="K295" s="6"/>
      <c r="L295" s="6">
        <v>14228.9</v>
      </c>
      <c r="M295" s="6"/>
      <c r="N295" s="6">
        <v>0</v>
      </c>
      <c r="O295" s="6"/>
      <c r="P295" s="6">
        <v>0</v>
      </c>
      <c r="Q295" s="6"/>
      <c r="R295" s="6">
        <v>32114.639999999999</v>
      </c>
      <c r="S295" s="6"/>
      <c r="T295" s="6">
        <v>5669.26</v>
      </c>
      <c r="U295" s="6"/>
      <c r="V295" s="6">
        <v>249</v>
      </c>
      <c r="W295" s="6"/>
      <c r="X295" s="6">
        <v>0</v>
      </c>
      <c r="Y295" s="6"/>
      <c r="Z295" s="6">
        <v>0</v>
      </c>
      <c r="AA295" s="6"/>
      <c r="AB295" s="6">
        <v>0</v>
      </c>
      <c r="AC295" s="6"/>
      <c r="AD295" s="6">
        <v>0</v>
      </c>
      <c r="AE295" s="6"/>
      <c r="AF295" s="6">
        <v>0</v>
      </c>
      <c r="AG295" s="6"/>
      <c r="AH295" s="6">
        <f>SUM(F295:AF295)</f>
        <v>382074.26</v>
      </c>
    </row>
    <row r="296" spans="1:66" s="4" customFormat="1">
      <c r="A296" s="4">
        <v>247</v>
      </c>
      <c r="B296" s="4" t="s">
        <v>602</v>
      </c>
      <c r="D296" s="4" t="s">
        <v>223</v>
      </c>
      <c r="F296" s="4">
        <v>2245440</v>
      </c>
      <c r="H296" s="4">
        <v>0</v>
      </c>
      <c r="J296" s="4">
        <v>3130108</v>
      </c>
      <c r="L296" s="4">
        <v>168093</v>
      </c>
      <c r="N296" s="4">
        <v>0</v>
      </c>
      <c r="P296" s="4">
        <v>0</v>
      </c>
      <c r="R296" s="4">
        <v>126554</v>
      </c>
      <c r="T296" s="4">
        <v>17398</v>
      </c>
      <c r="V296" s="4">
        <v>51533</v>
      </c>
      <c r="X296" s="4">
        <v>0</v>
      </c>
      <c r="Z296" s="4">
        <v>350160</v>
      </c>
      <c r="AB296" s="4">
        <v>0</v>
      </c>
      <c r="AD296" s="4">
        <v>0</v>
      </c>
      <c r="AF296" s="4">
        <v>0</v>
      </c>
      <c r="AH296" s="4">
        <f t="shared" si="10"/>
        <v>6089286</v>
      </c>
    </row>
    <row r="297" spans="1:66" s="4" customFormat="1">
      <c r="A297" s="4">
        <v>254</v>
      </c>
      <c r="B297" s="4" t="s">
        <v>269</v>
      </c>
      <c r="D297" s="4" t="s">
        <v>63</v>
      </c>
      <c r="F297" s="6">
        <v>0</v>
      </c>
      <c r="G297" s="6"/>
      <c r="H297" s="6">
        <v>247946.76</v>
      </c>
      <c r="I297" s="6"/>
      <c r="J297" s="6">
        <v>0</v>
      </c>
      <c r="K297" s="6"/>
      <c r="L297" s="6">
        <v>7028.47</v>
      </c>
      <c r="M297" s="6"/>
      <c r="N297" s="6">
        <v>0</v>
      </c>
      <c r="O297" s="6"/>
      <c r="P297" s="6">
        <v>0</v>
      </c>
      <c r="Q297" s="6"/>
      <c r="R297" s="6">
        <v>4137.1000000000004</v>
      </c>
      <c r="S297" s="6"/>
      <c r="T297" s="6">
        <v>649.4</v>
      </c>
      <c r="U297" s="6"/>
      <c r="V297" s="6">
        <v>854.75</v>
      </c>
      <c r="W297" s="6"/>
      <c r="X297" s="6">
        <v>0</v>
      </c>
      <c r="Y297" s="6"/>
      <c r="Z297" s="6">
        <v>0</v>
      </c>
      <c r="AA297" s="6"/>
      <c r="AB297" s="6">
        <v>0</v>
      </c>
      <c r="AC297" s="6"/>
      <c r="AD297" s="6">
        <v>0</v>
      </c>
      <c r="AE297" s="6"/>
      <c r="AF297" s="6">
        <v>0</v>
      </c>
      <c r="AG297" s="6"/>
      <c r="AH297" s="6">
        <f>SUM(F297:AF297)</f>
        <v>260616.48</v>
      </c>
    </row>
    <row r="298" spans="1:66" s="4" customFormat="1">
      <c r="A298" s="4">
        <v>255</v>
      </c>
      <c r="B298" s="4" t="s">
        <v>270</v>
      </c>
      <c r="D298" s="4" t="s">
        <v>63</v>
      </c>
      <c r="F298" s="6">
        <v>834360.16</v>
      </c>
      <c r="G298" s="6"/>
      <c r="H298" s="6">
        <v>892694.17</v>
      </c>
      <c r="I298" s="6"/>
      <c r="J298" s="6">
        <v>96180.82</v>
      </c>
      <c r="K298" s="6"/>
      <c r="L298" s="6">
        <v>56299.39</v>
      </c>
      <c r="M298" s="6"/>
      <c r="N298" s="6">
        <v>0</v>
      </c>
      <c r="O298" s="6"/>
      <c r="P298" s="6">
        <v>0</v>
      </c>
      <c r="Q298" s="6"/>
      <c r="R298" s="6">
        <v>5488.09</v>
      </c>
      <c r="S298" s="6"/>
      <c r="T298" s="6">
        <v>1868.28</v>
      </c>
      <c r="U298" s="6"/>
      <c r="V298" s="6">
        <v>13878.23</v>
      </c>
      <c r="W298" s="6"/>
      <c r="X298" s="6">
        <v>2023.24</v>
      </c>
      <c r="Y298" s="6"/>
      <c r="Z298" s="6">
        <v>0</v>
      </c>
      <c r="AA298" s="6"/>
      <c r="AB298" s="6">
        <v>0</v>
      </c>
      <c r="AC298" s="6"/>
      <c r="AD298" s="6">
        <v>0</v>
      </c>
      <c r="AE298" s="6"/>
      <c r="AF298" s="6">
        <v>0</v>
      </c>
      <c r="AG298" s="6"/>
      <c r="AH298" s="6">
        <f>SUM(F298:AF298)</f>
        <v>1902792.3800000001</v>
      </c>
    </row>
    <row r="299" spans="1:66" s="4" customFormat="1">
      <c r="A299" s="4">
        <v>44</v>
      </c>
      <c r="B299" s="4" t="s">
        <v>271</v>
      </c>
      <c r="D299" s="4" t="s">
        <v>49</v>
      </c>
      <c r="F299" s="6">
        <v>0</v>
      </c>
      <c r="G299" s="6"/>
      <c r="H299" s="6">
        <v>353691.79</v>
      </c>
      <c r="I299" s="6"/>
      <c r="J299" s="6">
        <v>0</v>
      </c>
      <c r="K299" s="6"/>
      <c r="L299" s="6">
        <v>5691.44</v>
      </c>
      <c r="M299" s="6"/>
      <c r="N299" s="6">
        <v>0</v>
      </c>
      <c r="O299" s="6"/>
      <c r="P299" s="6">
        <v>0</v>
      </c>
      <c r="Q299" s="6"/>
      <c r="R299" s="6">
        <v>3542.25</v>
      </c>
      <c r="S299" s="6"/>
      <c r="T299" s="6">
        <v>11150.92</v>
      </c>
      <c r="U299" s="6"/>
      <c r="V299" s="6">
        <v>20.02</v>
      </c>
      <c r="W299" s="6"/>
      <c r="X299" s="6">
        <v>0</v>
      </c>
      <c r="Y299" s="6"/>
      <c r="Z299" s="6">
        <v>0</v>
      </c>
      <c r="AA299" s="6"/>
      <c r="AB299" s="6">
        <v>0</v>
      </c>
      <c r="AC299" s="6"/>
      <c r="AD299" s="6">
        <v>0</v>
      </c>
      <c r="AE299" s="6"/>
      <c r="AF299" s="6">
        <v>0</v>
      </c>
      <c r="AG299" s="6"/>
      <c r="AH299" s="6">
        <f>SUM(F299:AF299)</f>
        <v>374096.42</v>
      </c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</row>
    <row r="300" spans="1:66" s="4" customFormat="1">
      <c r="A300" s="4">
        <v>78</v>
      </c>
      <c r="B300" s="4" t="s">
        <v>564</v>
      </c>
      <c r="D300" s="4" t="s">
        <v>90</v>
      </c>
      <c r="F300" s="1">
        <v>1825958</v>
      </c>
      <c r="G300" s="1"/>
      <c r="H300" s="1">
        <v>2621867</v>
      </c>
      <c r="I300" s="1"/>
      <c r="J300" s="1">
        <v>110703</v>
      </c>
      <c r="K300" s="1"/>
      <c r="L300" s="1">
        <v>246648</v>
      </c>
      <c r="M300" s="1"/>
      <c r="N300" s="1">
        <v>0</v>
      </c>
      <c r="O300" s="1"/>
      <c r="P300" s="1">
        <v>49673</v>
      </c>
      <c r="Q300" s="1"/>
      <c r="R300" s="1">
        <v>36105</v>
      </c>
      <c r="S300" s="1"/>
      <c r="T300" s="1">
        <v>848</v>
      </c>
      <c r="U300" s="1"/>
      <c r="V300" s="1">
        <v>23630</v>
      </c>
      <c r="X300" s="4">
        <v>0</v>
      </c>
      <c r="Z300" s="4">
        <v>260846</v>
      </c>
      <c r="AB300" s="4">
        <v>0</v>
      </c>
      <c r="AD300" s="4">
        <v>0</v>
      </c>
      <c r="AF300" s="4">
        <v>0</v>
      </c>
      <c r="AH300" s="4">
        <f t="shared" si="10"/>
        <v>5176278</v>
      </c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</row>
    <row r="301" spans="1:66" s="4" customFormat="1">
      <c r="A301" s="4">
        <v>256</v>
      </c>
      <c r="B301" s="4" t="s">
        <v>272</v>
      </c>
      <c r="D301" s="4" t="s">
        <v>63</v>
      </c>
      <c r="F301" s="6">
        <v>0</v>
      </c>
      <c r="G301" s="6"/>
      <c r="H301" s="6">
        <v>315467.5</v>
      </c>
      <c r="I301" s="6"/>
      <c r="J301" s="6">
        <v>0</v>
      </c>
      <c r="K301" s="6"/>
      <c r="L301" s="6">
        <v>5400.62</v>
      </c>
      <c r="M301" s="6"/>
      <c r="N301" s="6">
        <v>0</v>
      </c>
      <c r="O301" s="6"/>
      <c r="P301" s="6">
        <v>0</v>
      </c>
      <c r="Q301" s="6"/>
      <c r="R301" s="6">
        <v>5409</v>
      </c>
      <c r="S301" s="6"/>
      <c r="T301" s="6">
        <v>3344.96</v>
      </c>
      <c r="U301" s="6"/>
      <c r="V301" s="6">
        <v>3804.83</v>
      </c>
      <c r="W301" s="6"/>
      <c r="X301" s="6">
        <v>0</v>
      </c>
      <c r="Y301" s="6"/>
      <c r="Z301" s="6">
        <v>0</v>
      </c>
      <c r="AA301" s="6"/>
      <c r="AB301" s="6">
        <v>0</v>
      </c>
      <c r="AC301" s="6"/>
      <c r="AD301" s="6">
        <v>0</v>
      </c>
      <c r="AE301" s="6"/>
      <c r="AF301" s="6">
        <v>0</v>
      </c>
      <c r="AG301" s="6"/>
      <c r="AH301" s="6">
        <f>SUM(F301:AF301)</f>
        <v>333426.91000000003</v>
      </c>
    </row>
    <row r="302" spans="1:66" s="4" customFormat="1">
      <c r="A302" s="4">
        <v>129</v>
      </c>
      <c r="B302" s="4" t="s">
        <v>462</v>
      </c>
      <c r="D302" s="4" t="s">
        <v>13</v>
      </c>
      <c r="F302" s="73">
        <v>783133.43</v>
      </c>
      <c r="G302" s="73"/>
      <c r="H302" s="73">
        <v>718295.32</v>
      </c>
      <c r="I302" s="73"/>
      <c r="J302" s="73">
        <v>0</v>
      </c>
      <c r="K302" s="73"/>
      <c r="L302" s="73">
        <v>28549.66</v>
      </c>
      <c r="M302" s="73"/>
      <c r="N302" s="73">
        <v>0</v>
      </c>
      <c r="O302" s="73"/>
      <c r="P302" s="73">
        <v>0</v>
      </c>
      <c r="Q302" s="73"/>
      <c r="R302" s="73">
        <v>545</v>
      </c>
      <c r="S302" s="73"/>
      <c r="T302" s="73">
        <v>3780.42</v>
      </c>
      <c r="U302" s="73"/>
      <c r="V302" s="73">
        <v>23243.75</v>
      </c>
      <c r="W302" s="73"/>
      <c r="X302" s="73">
        <v>1256.51</v>
      </c>
      <c r="Y302" s="73"/>
      <c r="Z302" s="73">
        <v>0</v>
      </c>
      <c r="AA302" s="73"/>
      <c r="AB302" s="73">
        <v>0</v>
      </c>
      <c r="AC302" s="73"/>
      <c r="AD302" s="73">
        <v>0</v>
      </c>
      <c r="AE302" s="73"/>
      <c r="AF302" s="73">
        <v>0</v>
      </c>
      <c r="AG302" s="73"/>
      <c r="AH302" s="73">
        <f>SUM(F302:AF302)</f>
        <v>1558804.0899999999</v>
      </c>
    </row>
    <row r="303" spans="1:66" s="4" customFormat="1" hidden="1">
      <c r="A303" s="4">
        <v>114</v>
      </c>
      <c r="B303" s="4" t="s">
        <v>273</v>
      </c>
      <c r="D303" s="4" t="s">
        <v>87</v>
      </c>
      <c r="AH303" s="4">
        <f t="shared" si="10"/>
        <v>0</v>
      </c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</row>
    <row r="304" spans="1:66" s="4" customFormat="1">
      <c r="A304" s="4">
        <v>249</v>
      </c>
      <c r="B304" s="4" t="s">
        <v>603</v>
      </c>
      <c r="D304" s="4" t="s">
        <v>202</v>
      </c>
      <c r="F304" s="6">
        <v>564727.64</v>
      </c>
      <c r="G304" s="6"/>
      <c r="H304" s="6">
        <v>951932.74</v>
      </c>
      <c r="I304" s="6"/>
      <c r="J304" s="6">
        <v>67872.11</v>
      </c>
      <c r="K304" s="6"/>
      <c r="L304" s="6">
        <v>29618.99</v>
      </c>
      <c r="M304" s="6"/>
      <c r="N304" s="6">
        <v>0</v>
      </c>
      <c r="O304" s="6"/>
      <c r="P304" s="6">
        <v>0</v>
      </c>
      <c r="Q304" s="6"/>
      <c r="R304" s="6">
        <v>22163.74</v>
      </c>
      <c r="S304" s="6"/>
      <c r="T304" s="6">
        <v>1011.99</v>
      </c>
      <c r="U304" s="6"/>
      <c r="V304" s="6">
        <v>30994.400000000001</v>
      </c>
      <c r="W304" s="6"/>
      <c r="X304" s="6">
        <v>0</v>
      </c>
      <c r="Y304" s="6"/>
      <c r="Z304" s="6">
        <v>0</v>
      </c>
      <c r="AA304" s="6"/>
      <c r="AB304" s="6">
        <v>0</v>
      </c>
      <c r="AC304" s="6"/>
      <c r="AD304" s="6">
        <v>0</v>
      </c>
      <c r="AE304" s="6"/>
      <c r="AF304" s="6">
        <v>0</v>
      </c>
      <c r="AG304" s="6"/>
      <c r="AH304" s="6">
        <f>SUM(F304:AF304)</f>
        <v>1668321.6099999999</v>
      </c>
    </row>
    <row r="305" spans="1:66" s="4" customFormat="1">
      <c r="A305" s="4">
        <v>130</v>
      </c>
      <c r="B305" s="4" t="s">
        <v>274</v>
      </c>
      <c r="D305" s="4" t="s">
        <v>13</v>
      </c>
      <c r="F305" s="1">
        <v>3249228</v>
      </c>
      <c r="H305" s="1">
        <v>1779339</v>
      </c>
      <c r="J305" s="1">
        <v>534782</v>
      </c>
      <c r="L305" s="1">
        <v>116872</v>
      </c>
      <c r="N305" s="4">
        <v>0</v>
      </c>
      <c r="P305" s="4">
        <v>0</v>
      </c>
      <c r="R305" s="1">
        <v>3351</v>
      </c>
      <c r="T305" s="1">
        <v>10522</v>
      </c>
      <c r="V305" s="1">
        <v>73257</v>
      </c>
      <c r="X305" s="4">
        <v>0</v>
      </c>
      <c r="Z305" s="4">
        <v>100000</v>
      </c>
      <c r="AB305" s="4">
        <v>0</v>
      </c>
      <c r="AD305" s="4">
        <v>0</v>
      </c>
      <c r="AF305" s="4">
        <v>0</v>
      </c>
      <c r="AH305" s="4">
        <f t="shared" si="10"/>
        <v>5867351</v>
      </c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</row>
    <row r="306" spans="1:66" s="4" customFormat="1">
      <c r="A306" s="4">
        <v>37</v>
      </c>
      <c r="B306" s="4" t="s">
        <v>275</v>
      </c>
      <c r="D306" s="4" t="s">
        <v>67</v>
      </c>
      <c r="F306" s="6">
        <v>621906.16</v>
      </c>
      <c r="G306" s="6"/>
      <c r="H306" s="6">
        <v>569651.22</v>
      </c>
      <c r="I306" s="6"/>
      <c r="J306" s="6">
        <v>0</v>
      </c>
      <c r="K306" s="6"/>
      <c r="L306" s="6">
        <v>19015.150000000001</v>
      </c>
      <c r="M306" s="6"/>
      <c r="N306" s="6">
        <v>0</v>
      </c>
      <c r="O306" s="6"/>
      <c r="P306" s="6">
        <v>0</v>
      </c>
      <c r="Q306" s="6"/>
      <c r="R306" s="6">
        <v>5833.79</v>
      </c>
      <c r="S306" s="6"/>
      <c r="T306" s="6">
        <v>8328.99</v>
      </c>
      <c r="U306" s="6"/>
      <c r="V306" s="6">
        <v>1390.29</v>
      </c>
      <c r="W306" s="6"/>
      <c r="X306" s="6">
        <v>0</v>
      </c>
      <c r="Y306" s="6"/>
      <c r="Z306" s="6">
        <v>125000</v>
      </c>
      <c r="AA306" s="6"/>
      <c r="AB306" s="6">
        <v>0</v>
      </c>
      <c r="AC306" s="6"/>
      <c r="AD306" s="6">
        <v>0</v>
      </c>
      <c r="AE306" s="6"/>
      <c r="AF306" s="6">
        <v>0</v>
      </c>
      <c r="AG306" s="6"/>
      <c r="AH306" s="6">
        <f>SUM(F306:AF306)</f>
        <v>1351125.5999999999</v>
      </c>
    </row>
    <row r="307" spans="1:66" s="4" customFormat="1">
      <c r="A307" s="4">
        <v>257</v>
      </c>
      <c r="B307" s="4" t="s">
        <v>604</v>
      </c>
      <c r="D307" s="4" t="s">
        <v>63</v>
      </c>
      <c r="F307" s="1">
        <v>1038897</v>
      </c>
      <c r="G307" s="1"/>
      <c r="H307" s="1">
        <v>1327132</v>
      </c>
      <c r="I307" s="1"/>
      <c r="J307" s="1">
        <v>1711</v>
      </c>
      <c r="K307" s="1"/>
      <c r="L307" s="1">
        <v>52604</v>
      </c>
      <c r="M307" s="1"/>
      <c r="N307" s="1">
        <v>0</v>
      </c>
      <c r="O307" s="1"/>
      <c r="P307" s="1">
        <v>2000</v>
      </c>
      <c r="Q307" s="1"/>
      <c r="R307" s="1">
        <v>115338</v>
      </c>
      <c r="S307" s="1"/>
      <c r="T307" s="1">
        <v>4784</v>
      </c>
      <c r="U307" s="1"/>
      <c r="V307" s="1">
        <v>4529</v>
      </c>
      <c r="X307" s="4">
        <v>0</v>
      </c>
      <c r="Z307" s="4">
        <v>0</v>
      </c>
      <c r="AB307" s="4">
        <v>0</v>
      </c>
      <c r="AD307" s="4">
        <v>0</v>
      </c>
      <c r="AF307" s="4">
        <v>0</v>
      </c>
      <c r="AH307" s="4">
        <f t="shared" si="10"/>
        <v>2546995</v>
      </c>
    </row>
    <row r="308" spans="1:66" s="4" customFormat="1">
      <c r="A308" s="4">
        <v>61</v>
      </c>
      <c r="B308" s="4" t="s">
        <v>276</v>
      </c>
      <c r="D308" s="4" t="s">
        <v>79</v>
      </c>
      <c r="F308" s="6">
        <v>0</v>
      </c>
      <c r="G308" s="6"/>
      <c r="H308" s="6">
        <v>315656.05</v>
      </c>
      <c r="I308" s="6"/>
      <c r="J308" s="6">
        <v>3500</v>
      </c>
      <c r="K308" s="6"/>
      <c r="L308" s="6">
        <v>9473.56</v>
      </c>
      <c r="M308" s="6"/>
      <c r="N308" s="6">
        <v>0</v>
      </c>
      <c r="O308" s="6"/>
      <c r="P308" s="6">
        <v>0</v>
      </c>
      <c r="Q308" s="6"/>
      <c r="R308" s="6">
        <v>7602.62</v>
      </c>
      <c r="S308" s="6"/>
      <c r="T308" s="6">
        <v>1613.93</v>
      </c>
      <c r="U308" s="6"/>
      <c r="V308" s="6">
        <v>1076.76</v>
      </c>
      <c r="W308" s="6"/>
      <c r="X308" s="6">
        <v>0</v>
      </c>
      <c r="Y308" s="6"/>
      <c r="Z308" s="6">
        <v>0</v>
      </c>
      <c r="AA308" s="6"/>
      <c r="AB308" s="6">
        <v>0</v>
      </c>
      <c r="AC308" s="6"/>
      <c r="AD308" s="6">
        <v>0</v>
      </c>
      <c r="AE308" s="6"/>
      <c r="AF308" s="6">
        <v>0</v>
      </c>
      <c r="AG308" s="6"/>
      <c r="AH308" s="6">
        <f>SUM(F308:AF308)</f>
        <v>338922.92</v>
      </c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</row>
    <row r="309" spans="1:66" s="4" customFormat="1">
      <c r="A309" s="4">
        <v>65</v>
      </c>
      <c r="B309" s="4" t="s">
        <v>318</v>
      </c>
      <c r="D309" s="4" t="s">
        <v>68</v>
      </c>
      <c r="F309" s="6">
        <v>0</v>
      </c>
      <c r="G309" s="6"/>
      <c r="H309" s="6">
        <v>129765.26</v>
      </c>
      <c r="I309" s="6"/>
      <c r="J309" s="6">
        <v>71756.899999999994</v>
      </c>
      <c r="K309" s="6"/>
      <c r="L309" s="6">
        <v>1677</v>
      </c>
      <c r="M309" s="6"/>
      <c r="N309" s="6">
        <v>0</v>
      </c>
      <c r="O309" s="6"/>
      <c r="P309" s="6">
        <v>0</v>
      </c>
      <c r="Q309" s="6"/>
      <c r="R309" s="6">
        <v>1501.13</v>
      </c>
      <c r="S309" s="6"/>
      <c r="T309" s="6">
        <v>218.67</v>
      </c>
      <c r="U309" s="6"/>
      <c r="V309" s="6">
        <v>10248.18</v>
      </c>
      <c r="W309" s="6"/>
      <c r="X309" s="6">
        <v>290.55</v>
      </c>
      <c r="Y309" s="6"/>
      <c r="Z309" s="6">
        <v>0</v>
      </c>
      <c r="AA309" s="6"/>
      <c r="AB309" s="6">
        <v>0</v>
      </c>
      <c r="AC309" s="6"/>
      <c r="AD309" s="6">
        <v>0</v>
      </c>
      <c r="AE309" s="6"/>
      <c r="AF309" s="6">
        <v>0</v>
      </c>
      <c r="AG309" s="6"/>
      <c r="AH309" s="6">
        <f>SUM(F309:AF309)</f>
        <v>215457.68999999997</v>
      </c>
    </row>
    <row r="310" spans="1:66" s="4" customFormat="1">
      <c r="A310" s="4">
        <v>81</v>
      </c>
      <c r="B310" s="4" t="s">
        <v>277</v>
      </c>
      <c r="D310" s="4" t="s">
        <v>90</v>
      </c>
      <c r="F310" s="1">
        <v>6113964</v>
      </c>
      <c r="H310" s="4">
        <v>0</v>
      </c>
      <c r="J310" s="1">
        <v>3025083</v>
      </c>
      <c r="L310" s="1">
        <v>295878</v>
      </c>
      <c r="N310" s="4">
        <v>0</v>
      </c>
      <c r="P310" s="1">
        <v>981410</v>
      </c>
      <c r="R310" s="1">
        <v>40141</v>
      </c>
      <c r="T310" s="1">
        <v>9405</v>
      </c>
      <c r="V310" s="1">
        <v>10689</v>
      </c>
      <c r="X310" s="4">
        <v>0</v>
      </c>
      <c r="Z310" s="4">
        <v>330912</v>
      </c>
      <c r="AB310" s="4">
        <v>0</v>
      </c>
      <c r="AD310" s="4">
        <v>0</v>
      </c>
      <c r="AF310" s="4">
        <v>0</v>
      </c>
      <c r="AH310" s="4">
        <f t="shared" si="10"/>
        <v>10807482</v>
      </c>
    </row>
    <row r="311" spans="1:66" s="4" customFormat="1">
      <c r="A311" s="4">
        <v>172</v>
      </c>
      <c r="B311" s="4" t="s">
        <v>463</v>
      </c>
      <c r="D311" s="4" t="s">
        <v>53</v>
      </c>
      <c r="F311" s="73">
        <v>391465.99</v>
      </c>
      <c r="G311" s="73"/>
      <c r="H311" s="73">
        <v>1141779.8700000001</v>
      </c>
      <c r="I311" s="73"/>
      <c r="J311" s="73">
        <v>59941.25</v>
      </c>
      <c r="K311" s="73"/>
      <c r="L311" s="73">
        <v>33476.65</v>
      </c>
      <c r="M311" s="73"/>
      <c r="N311" s="73">
        <v>0</v>
      </c>
      <c r="O311" s="73"/>
      <c r="P311" s="73">
        <v>0</v>
      </c>
      <c r="Q311" s="73"/>
      <c r="R311" s="73">
        <v>3712.11</v>
      </c>
      <c r="S311" s="73"/>
      <c r="T311" s="73">
        <v>1809.83</v>
      </c>
      <c r="U311" s="73"/>
      <c r="V311" s="73">
        <v>13938.41</v>
      </c>
      <c r="W311" s="73"/>
      <c r="X311" s="73">
        <v>0</v>
      </c>
      <c r="Y311" s="73"/>
      <c r="Z311" s="73">
        <v>0</v>
      </c>
      <c r="AA311" s="73"/>
      <c r="AB311" s="73">
        <v>0</v>
      </c>
      <c r="AC311" s="73"/>
      <c r="AD311" s="73">
        <v>0</v>
      </c>
      <c r="AE311" s="73"/>
      <c r="AF311" s="73">
        <v>0</v>
      </c>
      <c r="AG311" s="73"/>
      <c r="AH311" s="73">
        <f>SUM(F311:AF311)</f>
        <v>1646124.11</v>
      </c>
    </row>
    <row r="312" spans="1:66" s="4" customFormat="1"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</row>
    <row r="313" spans="1:66" s="4" customFormat="1"/>
    <row r="314" spans="1:66" s="4" customFormat="1"/>
    <row r="315" spans="1:66" s="4" customFormat="1">
      <c r="AH315" s="8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</row>
    <row r="316" spans="1:66" s="4" customFormat="1">
      <c r="AH316" s="8"/>
    </row>
    <row r="317" spans="1:66" s="4" customFormat="1">
      <c r="AH317" s="8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</row>
    <row r="318" spans="1:66" s="4" customFormat="1">
      <c r="AH318" s="8"/>
    </row>
    <row r="319" spans="1:66" s="4" customFormat="1">
      <c r="P319" s="8"/>
    </row>
    <row r="320" spans="1:66"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</row>
    <row r="321" spans="35:66"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</row>
    <row r="322" spans="35:66"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</row>
    <row r="323" spans="35:66"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</row>
    <row r="324" spans="35:66"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</row>
    <row r="325" spans="35:66"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</row>
    <row r="326" spans="35:66"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</row>
    <row r="327" spans="35:66"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</row>
    <row r="328" spans="35:66"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</row>
    <row r="329" spans="35:66"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</row>
    <row r="330" spans="35:66"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</row>
    <row r="331" spans="35:66"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</row>
    <row r="332" spans="35:66"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</row>
    <row r="333" spans="35:66"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</row>
    <row r="334" spans="35:66"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</row>
    <row r="335" spans="35:66"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</row>
    <row r="336" spans="35:66"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</row>
    <row r="337" spans="35:66"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</row>
    <row r="338" spans="35:66"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</row>
    <row r="339" spans="35:66"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</row>
    <row r="340" spans="35:66"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</row>
    <row r="341" spans="35:66"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</row>
    <row r="342" spans="35:66"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</row>
    <row r="343" spans="35:66"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</row>
    <row r="344" spans="35:66"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</row>
    <row r="345" spans="35:66"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</row>
    <row r="346" spans="35:66"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</row>
    <row r="347" spans="35:66"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</row>
    <row r="348" spans="35:66"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</row>
    <row r="349" spans="35:66"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</row>
    <row r="350" spans="35:66"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</row>
    <row r="351" spans="35:66"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</row>
    <row r="352" spans="35:66"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</row>
    <row r="353" spans="35:66"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</row>
    <row r="354" spans="35:66"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</row>
    <row r="355" spans="35:66"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</row>
    <row r="356" spans="35:66"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</row>
    <row r="357" spans="35:66"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</row>
    <row r="358" spans="35:66"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</row>
    <row r="359" spans="35:66"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</row>
    <row r="360" spans="35:66"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</row>
    <row r="361" spans="35:66"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</row>
    <row r="362" spans="35:66"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</row>
    <row r="363" spans="35:66"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</row>
    <row r="364" spans="35:66"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</row>
    <row r="365" spans="35:66"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</row>
    <row r="366" spans="35:66"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</row>
    <row r="367" spans="35:66"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</row>
    <row r="368" spans="35:66"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</row>
    <row r="369" spans="35:66"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</row>
    <row r="370" spans="35:66"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</row>
    <row r="371" spans="35:66"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</row>
    <row r="372" spans="35:66"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</row>
    <row r="373" spans="35:66"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</row>
    <row r="374" spans="35:66"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</row>
    <row r="375" spans="35:66"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</row>
    <row r="376" spans="35:66"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</row>
    <row r="377" spans="35:66"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</row>
    <row r="378" spans="35:66"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</row>
    <row r="379" spans="35:66"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</row>
    <row r="380" spans="35:66"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</row>
    <row r="381" spans="35:66"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</row>
    <row r="382" spans="35:66"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</row>
    <row r="383" spans="35:66"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</row>
    <row r="384" spans="35:66"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</row>
    <row r="385" spans="35:66"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</row>
    <row r="386" spans="35:66"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</row>
    <row r="387" spans="35:66"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</row>
    <row r="388" spans="35:66"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</row>
    <row r="389" spans="35:66"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</row>
    <row r="390" spans="35:66"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</row>
    <row r="391" spans="35:66"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</row>
    <row r="392" spans="35:66"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</row>
    <row r="393" spans="35:66"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</row>
    <row r="394" spans="35:66"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</row>
    <row r="395" spans="35:66"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</row>
  </sheetData>
  <sortState ref="A20:AH271">
    <sortCondition ref="B20:B271"/>
  </sortState>
  <phoneticPr fontId="1" type="noConversion"/>
  <printOptions horizontalCentered="1"/>
  <pageMargins left="0.75" right="0.75" top="0.5" bottom="0.5" header="0" footer="0.3"/>
  <pageSetup scale="73" firstPageNumber="24" fitToWidth="2" fitToHeight="3" pageOrder="overThenDown" orientation="portrait" useFirstPageNumber="1" horizontalDpi="1200" verticalDpi="1200" r:id="rId1"/>
  <headerFooter scaleWithDoc="0" alignWithMargins="0">
    <oddFooter>&amp;C&amp;"Times New Roman,Regular"&amp;11&amp;P</oddFooter>
  </headerFooter>
  <rowBreaks count="3" manualBreakCount="3">
    <brk id="88" min="1" max="33" man="1"/>
    <brk id="167" min="1" max="33" man="1"/>
    <brk id="245" min="1" max="33" man="1"/>
  </rowBreaks>
  <colBreaks count="1" manualBreakCount="1">
    <brk id="15" max="3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F328"/>
  <sheetViews>
    <sheetView view="pageBreakPreview" topLeftCell="B1" zoomScaleNormal="96" zoomScaleSheetLayoutView="100" workbookViewId="0">
      <pane xSplit="4" ySplit="18" topLeftCell="F19" activePane="bottomRight" state="frozen"/>
      <selection activeCell="H97" sqref="H97"/>
      <selection pane="topRight" activeCell="H97" sqref="H97"/>
      <selection pane="bottomLeft" activeCell="H97" sqref="H97"/>
      <selection pane="bottomRight" activeCell="H97" sqref="H97"/>
    </sheetView>
  </sheetViews>
  <sheetFormatPr defaultColWidth="9.140625" defaultRowHeight="12"/>
  <cols>
    <col min="1" max="1" width="0" style="3" hidden="1" customWidth="1"/>
    <col min="2" max="2" width="35" style="3" customWidth="1"/>
    <col min="3" max="3" width="1.28515625" style="3" customWidth="1"/>
    <col min="4" max="4" width="10.7109375" style="3" customWidth="1"/>
    <col min="5" max="5" width="1.28515625" style="3" customWidth="1"/>
    <col min="6" max="6" width="11" style="3" customWidth="1"/>
    <col min="7" max="7" width="1.28515625" style="3" customWidth="1"/>
    <col min="8" max="8" width="10.5703125" style="3" customWidth="1"/>
    <col min="9" max="9" width="1.28515625" style="3" customWidth="1"/>
    <col min="10" max="10" width="11.140625" style="3" customWidth="1"/>
    <col min="11" max="11" width="1.28515625" style="3" customWidth="1"/>
    <col min="12" max="12" width="11.140625" style="3" customWidth="1"/>
    <col min="13" max="13" width="1.28515625" style="3" customWidth="1"/>
    <col min="14" max="14" width="10.42578125" style="3" customWidth="1"/>
    <col min="15" max="15" width="1.28515625" style="3" hidden="1" customWidth="1"/>
    <col min="16" max="16" width="10.5703125" style="3" customWidth="1"/>
    <col min="17" max="17" width="1.28515625" style="3" customWidth="1"/>
    <col min="18" max="18" width="10.57031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42578125" style="3" customWidth="1"/>
    <col min="23" max="23" width="1.28515625" style="3" customWidth="1"/>
    <col min="24" max="24" width="10.5703125" style="3" customWidth="1"/>
    <col min="25" max="25" width="1.28515625" style="3" customWidth="1"/>
    <col min="26" max="26" width="11.28515625" style="3" customWidth="1"/>
    <col min="27" max="27" width="1.28515625" style="3" customWidth="1"/>
    <col min="28" max="28" width="10.85546875" style="3" customWidth="1"/>
    <col min="29" max="29" width="1.28515625" style="3" customWidth="1"/>
    <col min="30" max="30" width="10.5703125" style="3" customWidth="1"/>
    <col min="31" max="31" width="1.28515625" style="3" customWidth="1"/>
    <col min="32" max="32" width="10.7109375" style="3" customWidth="1"/>
    <col min="33" max="16384" width="9.140625" style="3"/>
  </cols>
  <sheetData>
    <row r="1" spans="1:32">
      <c r="B1" s="3" t="s">
        <v>519</v>
      </c>
    </row>
    <row r="2" spans="1:32">
      <c r="B2" s="3" t="s">
        <v>626</v>
      </c>
    </row>
    <row r="3" spans="1:32" hidden="1"/>
    <row r="4" spans="1:32" s="36" customFormat="1">
      <c r="B4" s="41"/>
      <c r="H4" s="36" t="s">
        <v>6</v>
      </c>
    </row>
    <row r="5" spans="1:32" s="36" customFormat="1">
      <c r="F5" s="36" t="s">
        <v>319</v>
      </c>
      <c r="H5" s="36" t="s">
        <v>548</v>
      </c>
      <c r="J5" s="36" t="s">
        <v>628</v>
      </c>
      <c r="L5" s="36" t="s">
        <v>547</v>
      </c>
      <c r="X5" s="36" t="s">
        <v>326</v>
      </c>
      <c r="AD5" s="36" t="s">
        <v>0</v>
      </c>
    </row>
    <row r="6" spans="1:32" s="36" customFormat="1">
      <c r="F6" s="36" t="s">
        <v>320</v>
      </c>
      <c r="H6" s="36" t="s">
        <v>321</v>
      </c>
      <c r="J6" s="36" t="s">
        <v>629</v>
      </c>
      <c r="L6" s="36" t="s">
        <v>545</v>
      </c>
      <c r="N6" s="36" t="s">
        <v>631</v>
      </c>
      <c r="T6" s="36" t="s">
        <v>28</v>
      </c>
      <c r="V6" s="36" t="s">
        <v>324</v>
      </c>
      <c r="X6" s="36" t="s">
        <v>327</v>
      </c>
      <c r="AD6" s="36" t="s">
        <v>294</v>
      </c>
    </row>
    <row r="7" spans="1:32" s="36" customFormat="1" ht="12" customHeight="1">
      <c r="A7" s="36" t="s">
        <v>567</v>
      </c>
      <c r="B7" s="37" t="s">
        <v>6</v>
      </c>
      <c r="C7" s="44"/>
      <c r="D7" s="37" t="s">
        <v>4</v>
      </c>
      <c r="E7" s="44"/>
      <c r="F7" s="37" t="s">
        <v>27</v>
      </c>
      <c r="G7" s="44"/>
      <c r="H7" s="37" t="s">
        <v>322</v>
      </c>
      <c r="I7" s="44"/>
      <c r="J7" s="37" t="s">
        <v>630</v>
      </c>
      <c r="K7" s="44"/>
      <c r="L7" s="37" t="s">
        <v>546</v>
      </c>
      <c r="M7" s="44"/>
      <c r="N7" s="45" t="s">
        <v>632</v>
      </c>
      <c r="O7" s="44"/>
      <c r="P7" s="37" t="s">
        <v>2</v>
      </c>
      <c r="Q7" s="44"/>
      <c r="R7" s="37" t="s">
        <v>0</v>
      </c>
      <c r="S7" s="44"/>
      <c r="T7" s="37" t="s">
        <v>323</v>
      </c>
      <c r="U7" s="44"/>
      <c r="V7" s="37" t="s">
        <v>325</v>
      </c>
      <c r="W7" s="44"/>
      <c r="X7" s="37" t="s">
        <v>328</v>
      </c>
      <c r="Y7" s="44"/>
      <c r="Z7" s="37" t="s">
        <v>499</v>
      </c>
      <c r="AA7" s="44"/>
      <c r="AB7" s="37" t="s">
        <v>500</v>
      </c>
      <c r="AC7" s="44"/>
      <c r="AD7" s="37" t="s">
        <v>329</v>
      </c>
      <c r="AE7" s="44"/>
      <c r="AF7" s="45" t="s">
        <v>26</v>
      </c>
    </row>
    <row r="8" spans="1:32" s="4" customFormat="1" hidden="1">
      <c r="A8" s="4">
        <v>2</v>
      </c>
      <c r="B8" s="4" t="s">
        <v>428</v>
      </c>
      <c r="D8" s="4" t="s">
        <v>95</v>
      </c>
      <c r="F8" s="4">
        <v>0</v>
      </c>
      <c r="H8" s="4">
        <v>0</v>
      </c>
      <c r="J8" s="4">
        <v>0</v>
      </c>
      <c r="L8" s="4">
        <v>0</v>
      </c>
      <c r="N8" s="4">
        <v>0</v>
      </c>
      <c r="P8" s="4">
        <v>0</v>
      </c>
      <c r="R8" s="4">
        <v>0</v>
      </c>
      <c r="T8" s="4">
        <v>0</v>
      </c>
      <c r="V8" s="4">
        <v>0</v>
      </c>
      <c r="X8" s="4">
        <v>0</v>
      </c>
      <c r="Z8" s="4">
        <v>0</v>
      </c>
      <c r="AB8" s="4">
        <v>0</v>
      </c>
      <c r="AD8" s="4">
        <v>0</v>
      </c>
      <c r="AF8" s="4">
        <f t="shared" ref="AF8:AF39" si="0">SUM(F8:AD8)</f>
        <v>0</v>
      </c>
    </row>
    <row r="9" spans="1:32" hidden="1">
      <c r="A9" s="4">
        <v>75</v>
      </c>
      <c r="B9" s="4" t="s">
        <v>429</v>
      </c>
      <c r="C9" s="4"/>
      <c r="D9" s="4" t="s">
        <v>90</v>
      </c>
      <c r="E9" s="4"/>
      <c r="F9" s="4">
        <v>0</v>
      </c>
      <c r="G9" s="4"/>
      <c r="H9" s="4">
        <v>0</v>
      </c>
      <c r="I9" s="4"/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0</v>
      </c>
      <c r="S9" s="4"/>
      <c r="T9" s="4">
        <v>0</v>
      </c>
      <c r="U9" s="4"/>
      <c r="V9" s="4">
        <v>0</v>
      </c>
      <c r="W9" s="4"/>
      <c r="X9" s="4">
        <v>0</v>
      </c>
      <c r="Y9" s="4"/>
      <c r="Z9" s="4">
        <v>0</v>
      </c>
      <c r="AA9" s="4"/>
      <c r="AB9" s="4">
        <v>0</v>
      </c>
      <c r="AC9" s="4"/>
      <c r="AD9" s="4">
        <v>0</v>
      </c>
      <c r="AE9" s="4"/>
      <c r="AF9" s="4">
        <f t="shared" si="0"/>
        <v>0</v>
      </c>
    </row>
    <row r="10" spans="1:32" s="7" customFormat="1" hidden="1">
      <c r="A10" s="4">
        <v>80</v>
      </c>
      <c r="B10" s="4" t="s">
        <v>265</v>
      </c>
      <c r="C10" s="4"/>
      <c r="D10" s="4" t="s">
        <v>90</v>
      </c>
      <c r="E10" s="4"/>
      <c r="F10" s="75">
        <v>0</v>
      </c>
      <c r="G10" s="75"/>
      <c r="H10" s="75">
        <v>0</v>
      </c>
      <c r="I10" s="75"/>
      <c r="J10" s="75">
        <v>0</v>
      </c>
      <c r="K10" s="75"/>
      <c r="L10" s="75">
        <v>0</v>
      </c>
      <c r="M10" s="75"/>
      <c r="N10" s="75">
        <v>0</v>
      </c>
      <c r="O10" s="75"/>
      <c r="P10" s="75">
        <v>0</v>
      </c>
      <c r="Q10" s="75"/>
      <c r="R10" s="75">
        <v>0</v>
      </c>
      <c r="S10" s="75"/>
      <c r="T10" s="75">
        <v>0</v>
      </c>
      <c r="U10" s="75"/>
      <c r="V10" s="75">
        <v>0</v>
      </c>
      <c r="W10" s="75"/>
      <c r="X10" s="75">
        <v>0</v>
      </c>
      <c r="Y10" s="75"/>
      <c r="Z10" s="75">
        <v>0</v>
      </c>
      <c r="AA10" s="75"/>
      <c r="AB10" s="75">
        <v>0</v>
      </c>
      <c r="AC10" s="75"/>
      <c r="AD10" s="75">
        <v>0</v>
      </c>
      <c r="AE10" s="75"/>
      <c r="AF10" s="75">
        <f t="shared" si="0"/>
        <v>0</v>
      </c>
    </row>
    <row r="11" spans="1:32" s="4" customFormat="1" hidden="1">
      <c r="A11" s="4">
        <v>117</v>
      </c>
      <c r="B11" s="4" t="s">
        <v>338</v>
      </c>
      <c r="D11" s="4" t="s">
        <v>168</v>
      </c>
      <c r="F11" s="75">
        <v>0</v>
      </c>
      <c r="G11" s="75"/>
      <c r="H11" s="75">
        <v>0</v>
      </c>
      <c r="I11" s="75"/>
      <c r="J11" s="75">
        <v>0</v>
      </c>
      <c r="K11" s="75"/>
      <c r="L11" s="75">
        <v>0</v>
      </c>
      <c r="M11" s="75"/>
      <c r="N11" s="75">
        <v>0</v>
      </c>
      <c r="O11" s="75"/>
      <c r="P11" s="75">
        <v>0</v>
      </c>
      <c r="Q11" s="75"/>
      <c r="R11" s="75">
        <v>0</v>
      </c>
      <c r="S11" s="75"/>
      <c r="T11" s="75">
        <v>0</v>
      </c>
      <c r="U11" s="75"/>
      <c r="V11" s="75">
        <v>0</v>
      </c>
      <c r="W11" s="75"/>
      <c r="X11" s="75">
        <v>0</v>
      </c>
      <c r="Y11" s="75"/>
      <c r="Z11" s="75">
        <v>0</v>
      </c>
      <c r="AA11" s="75"/>
      <c r="AB11" s="75">
        <v>0</v>
      </c>
      <c r="AC11" s="75"/>
      <c r="AD11" s="75">
        <v>0</v>
      </c>
      <c r="AE11" s="75"/>
      <c r="AF11" s="75">
        <f t="shared" si="0"/>
        <v>0</v>
      </c>
    </row>
    <row r="12" spans="1:32" s="4" customFormat="1" hidden="1">
      <c r="A12" s="4">
        <v>135</v>
      </c>
      <c r="B12" s="4" t="s">
        <v>435</v>
      </c>
      <c r="D12" s="4" t="s">
        <v>39</v>
      </c>
      <c r="F12" s="75">
        <v>0</v>
      </c>
      <c r="G12" s="75"/>
      <c r="H12" s="75">
        <v>0</v>
      </c>
      <c r="I12" s="75"/>
      <c r="J12" s="75">
        <v>0</v>
      </c>
      <c r="K12" s="75"/>
      <c r="L12" s="75">
        <v>0</v>
      </c>
      <c r="M12" s="75"/>
      <c r="N12" s="75">
        <v>0</v>
      </c>
      <c r="O12" s="75"/>
      <c r="P12" s="75">
        <v>0</v>
      </c>
      <c r="Q12" s="75"/>
      <c r="R12" s="75">
        <v>0</v>
      </c>
      <c r="S12" s="75"/>
      <c r="T12" s="75">
        <v>0</v>
      </c>
      <c r="U12" s="75"/>
      <c r="V12" s="75">
        <v>0</v>
      </c>
      <c r="W12" s="75"/>
      <c r="X12" s="75">
        <v>0</v>
      </c>
      <c r="Y12" s="75"/>
      <c r="Z12" s="75">
        <v>0</v>
      </c>
      <c r="AA12" s="75"/>
      <c r="AB12" s="75">
        <v>0</v>
      </c>
      <c r="AC12" s="75"/>
      <c r="AD12" s="75">
        <v>0</v>
      </c>
      <c r="AE12" s="75"/>
      <c r="AF12" s="75">
        <f t="shared" si="0"/>
        <v>0</v>
      </c>
    </row>
    <row r="13" spans="1:32" s="4" customFormat="1" hidden="1">
      <c r="A13" s="4">
        <v>152</v>
      </c>
      <c r="B13" s="4" t="s">
        <v>212</v>
      </c>
      <c r="D13" s="4" t="s">
        <v>213</v>
      </c>
      <c r="F13" s="75">
        <v>0</v>
      </c>
      <c r="G13" s="75"/>
      <c r="H13" s="75">
        <v>0</v>
      </c>
      <c r="I13" s="75"/>
      <c r="J13" s="75">
        <v>0</v>
      </c>
      <c r="K13" s="75"/>
      <c r="L13" s="75">
        <v>0</v>
      </c>
      <c r="M13" s="75"/>
      <c r="N13" s="75">
        <v>0</v>
      </c>
      <c r="O13" s="75"/>
      <c r="P13" s="75">
        <v>0</v>
      </c>
      <c r="Q13" s="75"/>
      <c r="R13" s="75">
        <v>0</v>
      </c>
      <c r="S13" s="75"/>
      <c r="T13" s="75">
        <v>0</v>
      </c>
      <c r="U13" s="75"/>
      <c r="V13" s="75">
        <v>0</v>
      </c>
      <c r="W13" s="75"/>
      <c r="X13" s="75">
        <v>0</v>
      </c>
      <c r="Y13" s="75"/>
      <c r="Z13" s="75">
        <v>0</v>
      </c>
      <c r="AA13" s="75"/>
      <c r="AB13" s="75">
        <v>0</v>
      </c>
      <c r="AC13" s="75"/>
      <c r="AD13" s="75">
        <v>0</v>
      </c>
      <c r="AE13" s="75"/>
      <c r="AF13" s="75">
        <f t="shared" si="0"/>
        <v>0</v>
      </c>
    </row>
    <row r="14" spans="1:32" s="4" customFormat="1" hidden="1">
      <c r="A14" s="4">
        <v>180</v>
      </c>
      <c r="B14" s="4" t="s">
        <v>251</v>
      </c>
      <c r="D14" s="4" t="s">
        <v>104</v>
      </c>
      <c r="F14" s="75">
        <v>0</v>
      </c>
      <c r="G14" s="75"/>
      <c r="H14" s="75">
        <v>0</v>
      </c>
      <c r="I14" s="75"/>
      <c r="J14" s="75">
        <v>0</v>
      </c>
      <c r="K14" s="75"/>
      <c r="L14" s="75">
        <v>0</v>
      </c>
      <c r="M14" s="75"/>
      <c r="N14" s="75">
        <v>0</v>
      </c>
      <c r="O14" s="75"/>
      <c r="P14" s="75">
        <v>0</v>
      </c>
      <c r="Q14" s="75"/>
      <c r="R14" s="75">
        <v>0</v>
      </c>
      <c r="S14" s="75"/>
      <c r="T14" s="75">
        <v>0</v>
      </c>
      <c r="U14" s="75"/>
      <c r="V14" s="75">
        <v>0</v>
      </c>
      <c r="W14" s="75"/>
      <c r="X14" s="75">
        <v>0</v>
      </c>
      <c r="Y14" s="75"/>
      <c r="Z14" s="75">
        <v>0</v>
      </c>
      <c r="AA14" s="75"/>
      <c r="AB14" s="75">
        <v>0</v>
      </c>
      <c r="AC14" s="75"/>
      <c r="AD14" s="75">
        <v>0</v>
      </c>
      <c r="AE14" s="75"/>
      <c r="AF14" s="75">
        <f t="shared" si="0"/>
        <v>0</v>
      </c>
    </row>
    <row r="15" spans="1:32" s="7" customFormat="1" hidden="1">
      <c r="A15" s="4">
        <v>185</v>
      </c>
      <c r="B15" s="4" t="s">
        <v>228</v>
      </c>
      <c r="C15" s="4"/>
      <c r="D15" s="4" t="s">
        <v>227</v>
      </c>
      <c r="E15" s="4"/>
      <c r="F15" s="75">
        <v>0</v>
      </c>
      <c r="G15" s="75"/>
      <c r="H15" s="75">
        <v>0</v>
      </c>
      <c r="I15" s="75"/>
      <c r="J15" s="75">
        <v>0</v>
      </c>
      <c r="K15" s="75"/>
      <c r="L15" s="75">
        <v>0</v>
      </c>
      <c r="M15" s="75"/>
      <c r="N15" s="75">
        <v>0</v>
      </c>
      <c r="O15" s="75"/>
      <c r="P15" s="75">
        <v>0</v>
      </c>
      <c r="Q15" s="75"/>
      <c r="R15" s="75">
        <v>0</v>
      </c>
      <c r="S15" s="75"/>
      <c r="T15" s="75">
        <v>0</v>
      </c>
      <c r="U15" s="75"/>
      <c r="V15" s="75">
        <v>0</v>
      </c>
      <c r="W15" s="75"/>
      <c r="X15" s="75">
        <v>0</v>
      </c>
      <c r="Y15" s="75"/>
      <c r="Z15" s="75">
        <v>0</v>
      </c>
      <c r="AA15" s="75"/>
      <c r="AB15" s="75">
        <v>0</v>
      </c>
      <c r="AC15" s="75"/>
      <c r="AD15" s="75">
        <v>0</v>
      </c>
      <c r="AE15" s="75"/>
      <c r="AF15" s="75">
        <f t="shared" si="0"/>
        <v>0</v>
      </c>
    </row>
    <row r="16" spans="1:32" s="4" customFormat="1" hidden="1">
      <c r="A16" s="4">
        <v>189</v>
      </c>
      <c r="B16" s="4" t="s">
        <v>443</v>
      </c>
      <c r="D16" s="4" t="s">
        <v>234</v>
      </c>
      <c r="F16" s="75">
        <v>0</v>
      </c>
      <c r="G16" s="75"/>
      <c r="H16" s="75">
        <v>0</v>
      </c>
      <c r="I16" s="75"/>
      <c r="J16" s="75">
        <v>0</v>
      </c>
      <c r="K16" s="75"/>
      <c r="L16" s="75">
        <v>0</v>
      </c>
      <c r="M16" s="75"/>
      <c r="N16" s="75">
        <v>0</v>
      </c>
      <c r="O16" s="75"/>
      <c r="P16" s="75">
        <v>0</v>
      </c>
      <c r="Q16" s="75"/>
      <c r="R16" s="75">
        <v>0</v>
      </c>
      <c r="S16" s="75"/>
      <c r="T16" s="75">
        <v>0</v>
      </c>
      <c r="U16" s="75"/>
      <c r="V16" s="75">
        <v>0</v>
      </c>
      <c r="W16" s="75"/>
      <c r="X16" s="75">
        <v>0</v>
      </c>
      <c r="Y16" s="75"/>
      <c r="Z16" s="75">
        <v>0</v>
      </c>
      <c r="AA16" s="75"/>
      <c r="AB16" s="75">
        <v>0</v>
      </c>
      <c r="AC16" s="75"/>
      <c r="AD16" s="75">
        <v>0</v>
      </c>
      <c r="AE16" s="75"/>
      <c r="AF16" s="75">
        <f t="shared" si="0"/>
        <v>0</v>
      </c>
    </row>
    <row r="17" spans="1:55" s="4" customFormat="1" hidden="1">
      <c r="A17" s="4">
        <v>233</v>
      </c>
      <c r="B17" s="4" t="s">
        <v>33</v>
      </c>
      <c r="D17" s="4" t="s">
        <v>24</v>
      </c>
      <c r="F17" s="75">
        <v>0</v>
      </c>
      <c r="G17" s="75"/>
      <c r="H17" s="75">
        <v>0</v>
      </c>
      <c r="I17" s="75"/>
      <c r="J17" s="75">
        <v>0</v>
      </c>
      <c r="K17" s="75"/>
      <c r="L17" s="75">
        <v>0</v>
      </c>
      <c r="M17" s="75"/>
      <c r="N17" s="75">
        <v>0</v>
      </c>
      <c r="O17" s="75"/>
      <c r="P17" s="75">
        <v>0</v>
      </c>
      <c r="Q17" s="75"/>
      <c r="R17" s="75">
        <v>0</v>
      </c>
      <c r="S17" s="75"/>
      <c r="T17" s="75">
        <v>0</v>
      </c>
      <c r="U17" s="75"/>
      <c r="V17" s="75">
        <v>0</v>
      </c>
      <c r="W17" s="75"/>
      <c r="X17" s="75">
        <v>0</v>
      </c>
      <c r="Y17" s="75"/>
      <c r="Z17" s="75">
        <v>0</v>
      </c>
      <c r="AA17" s="75"/>
      <c r="AB17" s="75">
        <v>0</v>
      </c>
      <c r="AC17" s="75"/>
      <c r="AD17" s="75">
        <v>0</v>
      </c>
      <c r="AE17" s="75"/>
      <c r="AF17" s="75">
        <f t="shared" si="0"/>
        <v>0</v>
      </c>
    </row>
    <row r="18" spans="1:55" s="4" customFormat="1" hidden="1">
      <c r="A18" s="4">
        <v>234</v>
      </c>
      <c r="B18" s="4" t="s">
        <v>199</v>
      </c>
      <c r="D18" s="4" t="s">
        <v>24</v>
      </c>
      <c r="F18" s="75">
        <v>0</v>
      </c>
      <c r="G18" s="75"/>
      <c r="H18" s="75">
        <v>0</v>
      </c>
      <c r="I18" s="75"/>
      <c r="J18" s="75">
        <v>0</v>
      </c>
      <c r="K18" s="75"/>
      <c r="L18" s="75">
        <v>0</v>
      </c>
      <c r="M18" s="75"/>
      <c r="N18" s="75">
        <v>0</v>
      </c>
      <c r="O18" s="75"/>
      <c r="P18" s="75">
        <v>0</v>
      </c>
      <c r="Q18" s="75"/>
      <c r="R18" s="75">
        <v>0</v>
      </c>
      <c r="S18" s="75"/>
      <c r="T18" s="75">
        <v>0</v>
      </c>
      <c r="U18" s="75"/>
      <c r="V18" s="75">
        <v>0</v>
      </c>
      <c r="W18" s="75"/>
      <c r="X18" s="75">
        <v>0</v>
      </c>
      <c r="Y18" s="75"/>
      <c r="Z18" s="75">
        <v>0</v>
      </c>
      <c r="AA18" s="75"/>
      <c r="AB18" s="75">
        <v>0</v>
      </c>
      <c r="AC18" s="75"/>
      <c r="AD18" s="75">
        <v>0</v>
      </c>
      <c r="AE18" s="75"/>
      <c r="AF18" s="75">
        <f t="shared" si="0"/>
        <v>0</v>
      </c>
    </row>
    <row r="19" spans="1:55" s="4" customFormat="1">
      <c r="A19" s="4">
        <v>95</v>
      </c>
      <c r="B19" s="3" t="s">
        <v>71</v>
      </c>
      <c r="C19" s="3"/>
      <c r="D19" s="3" t="s">
        <v>59</v>
      </c>
      <c r="E19" s="3"/>
      <c r="F19" s="75">
        <v>0</v>
      </c>
      <c r="G19" s="75"/>
      <c r="H19" s="75">
        <v>277209.59999999998</v>
      </c>
      <c r="I19" s="75"/>
      <c r="J19" s="75">
        <v>0</v>
      </c>
      <c r="K19" s="75"/>
      <c r="L19" s="75">
        <v>0</v>
      </c>
      <c r="M19" s="75"/>
      <c r="N19" s="75">
        <v>0</v>
      </c>
      <c r="O19" s="75"/>
      <c r="P19" s="75">
        <v>0</v>
      </c>
      <c r="Q19" s="75"/>
      <c r="R19" s="75">
        <v>0</v>
      </c>
      <c r="S19" s="75"/>
      <c r="T19" s="75">
        <v>61578.76</v>
      </c>
      <c r="U19" s="75"/>
      <c r="V19" s="75">
        <v>0</v>
      </c>
      <c r="W19" s="75"/>
      <c r="X19" s="75">
        <v>0</v>
      </c>
      <c r="Y19" s="75"/>
      <c r="Z19" s="75">
        <v>236.5</v>
      </c>
      <c r="AA19" s="75"/>
      <c r="AB19" s="75">
        <v>0</v>
      </c>
      <c r="AC19" s="75"/>
      <c r="AD19" s="75">
        <v>1</v>
      </c>
      <c r="AE19" s="75"/>
      <c r="AF19" s="75">
        <f t="shared" si="0"/>
        <v>339025.86</v>
      </c>
    </row>
    <row r="20" spans="1:55" s="14" customFormat="1">
      <c r="A20" s="4">
        <v>1</v>
      </c>
      <c r="B20" s="3" t="s">
        <v>72</v>
      </c>
      <c r="C20" s="3"/>
      <c r="D20" s="3" t="s">
        <v>38</v>
      </c>
      <c r="E20" s="3"/>
      <c r="F20" s="6">
        <v>0</v>
      </c>
      <c r="G20" s="6"/>
      <c r="H20" s="6">
        <v>738245.81</v>
      </c>
      <c r="I20" s="6"/>
      <c r="J20" s="6">
        <v>0</v>
      </c>
      <c r="K20" s="6"/>
      <c r="L20" s="6">
        <v>0</v>
      </c>
      <c r="M20" s="6"/>
      <c r="N20" s="6">
        <v>0</v>
      </c>
      <c r="O20" s="6"/>
      <c r="P20" s="6">
        <v>0</v>
      </c>
      <c r="Q20" s="6"/>
      <c r="R20" s="6">
        <v>0</v>
      </c>
      <c r="S20" s="6"/>
      <c r="T20" s="6">
        <v>28751.63</v>
      </c>
      <c r="U20" s="6"/>
      <c r="V20" s="6">
        <v>0</v>
      </c>
      <c r="W20" s="6"/>
      <c r="X20" s="6">
        <v>0</v>
      </c>
      <c r="Y20" s="6"/>
      <c r="Z20" s="6">
        <v>28823.26</v>
      </c>
      <c r="AA20" s="6"/>
      <c r="AB20" s="6">
        <v>0</v>
      </c>
      <c r="AC20" s="6"/>
      <c r="AD20" s="6">
        <v>0</v>
      </c>
      <c r="AE20" s="6"/>
      <c r="AF20" s="6">
        <f t="shared" si="0"/>
        <v>795820.70000000007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4" customFormat="1">
      <c r="A21" s="4">
        <v>216</v>
      </c>
      <c r="B21" s="42" t="s">
        <v>427</v>
      </c>
      <c r="C21" s="42"/>
      <c r="D21" s="42" t="s">
        <v>20</v>
      </c>
      <c r="E21" s="42"/>
      <c r="F21" s="1">
        <v>929036</v>
      </c>
      <c r="G21" s="1"/>
      <c r="H21" s="1">
        <v>11818491</v>
      </c>
      <c r="I21" s="1"/>
      <c r="J21" s="1">
        <v>3807632</v>
      </c>
      <c r="K21" s="1"/>
      <c r="L21" s="1">
        <v>4617256</v>
      </c>
      <c r="M21" s="1"/>
      <c r="N21" s="1">
        <v>2559988</v>
      </c>
      <c r="O21" s="1"/>
      <c r="P21" s="1">
        <v>0</v>
      </c>
      <c r="Q21" s="1"/>
      <c r="R21" s="1">
        <v>286222</v>
      </c>
      <c r="S21" s="1"/>
      <c r="T21" s="1">
        <v>484784</v>
      </c>
      <c r="U21" s="1"/>
      <c r="V21" s="1">
        <v>3495000</v>
      </c>
      <c r="W21" s="1"/>
      <c r="X21" s="1">
        <v>2110400</v>
      </c>
      <c r="Y21" s="1"/>
      <c r="Z21" s="1">
        <v>30095</v>
      </c>
      <c r="AA21" s="1"/>
      <c r="AB21" s="1">
        <v>51800</v>
      </c>
      <c r="AC21" s="1"/>
      <c r="AD21" s="1">
        <v>28999097</v>
      </c>
      <c r="AE21" s="15"/>
      <c r="AF21" s="4">
        <f t="shared" si="0"/>
        <v>59189801</v>
      </c>
    </row>
    <row r="22" spans="1:55" s="4" customFormat="1">
      <c r="A22" s="4">
        <v>131</v>
      </c>
      <c r="B22" s="4" t="s">
        <v>504</v>
      </c>
      <c r="D22" s="4" t="s">
        <v>39</v>
      </c>
      <c r="F22" s="6">
        <v>0</v>
      </c>
      <c r="G22" s="6"/>
      <c r="H22" s="6">
        <v>285534.67</v>
      </c>
      <c r="I22" s="6"/>
      <c r="J22" s="6">
        <v>0</v>
      </c>
      <c r="K22" s="6"/>
      <c r="L22" s="6">
        <v>0</v>
      </c>
      <c r="M22" s="6"/>
      <c r="N22" s="6">
        <v>0</v>
      </c>
      <c r="O22" s="6"/>
      <c r="P22" s="6">
        <v>0</v>
      </c>
      <c r="Q22" s="6"/>
      <c r="R22" s="6">
        <v>0</v>
      </c>
      <c r="S22" s="6"/>
      <c r="T22" s="6">
        <v>19722.349999999999</v>
      </c>
      <c r="U22" s="6"/>
      <c r="V22" s="6">
        <v>0</v>
      </c>
      <c r="W22" s="6"/>
      <c r="X22" s="6">
        <v>0</v>
      </c>
      <c r="Y22" s="6"/>
      <c r="Z22" s="6">
        <v>0</v>
      </c>
      <c r="AA22" s="6"/>
      <c r="AB22" s="6">
        <v>0</v>
      </c>
      <c r="AC22" s="6"/>
      <c r="AD22" s="6">
        <v>0</v>
      </c>
      <c r="AE22" s="6"/>
      <c r="AF22" s="6">
        <f t="shared" si="0"/>
        <v>305257.01999999996</v>
      </c>
    </row>
    <row r="23" spans="1:55" s="4" customFormat="1">
      <c r="A23" s="4">
        <v>96</v>
      </c>
      <c r="B23" s="4" t="s">
        <v>73</v>
      </c>
      <c r="D23" s="4" t="s">
        <v>59</v>
      </c>
      <c r="F23" s="6">
        <v>0</v>
      </c>
      <c r="G23" s="6"/>
      <c r="H23" s="6">
        <v>63176.79</v>
      </c>
      <c r="I23" s="6"/>
      <c r="J23" s="6">
        <v>0</v>
      </c>
      <c r="K23" s="6"/>
      <c r="L23" s="6">
        <v>0</v>
      </c>
      <c r="M23" s="6"/>
      <c r="N23" s="6">
        <v>0</v>
      </c>
      <c r="O23" s="6"/>
      <c r="P23" s="6">
        <v>0</v>
      </c>
      <c r="Q23" s="6"/>
      <c r="R23" s="6">
        <v>0</v>
      </c>
      <c r="S23" s="6"/>
      <c r="T23" s="6">
        <v>0</v>
      </c>
      <c r="U23" s="6"/>
      <c r="V23" s="6">
        <v>0</v>
      </c>
      <c r="W23" s="6"/>
      <c r="X23" s="6">
        <v>0</v>
      </c>
      <c r="Y23" s="6"/>
      <c r="Z23" s="6">
        <v>0</v>
      </c>
      <c r="AA23" s="6"/>
      <c r="AB23" s="6">
        <v>0</v>
      </c>
      <c r="AC23" s="6"/>
      <c r="AD23" s="6">
        <v>31.29</v>
      </c>
      <c r="AE23" s="6"/>
      <c r="AF23" s="6">
        <f t="shared" si="0"/>
        <v>63208.08</v>
      </c>
    </row>
    <row r="24" spans="1:55" s="4" customFormat="1">
      <c r="A24" s="4">
        <v>140</v>
      </c>
      <c r="B24" s="4" t="s">
        <v>444</v>
      </c>
      <c r="D24" s="4" t="s">
        <v>55</v>
      </c>
      <c r="F24" s="73">
        <v>0</v>
      </c>
      <c r="G24" s="73"/>
      <c r="H24" s="73">
        <v>1077074.31</v>
      </c>
      <c r="I24" s="73"/>
      <c r="J24" s="73">
        <v>0</v>
      </c>
      <c r="K24" s="73"/>
      <c r="L24" s="73">
        <v>0</v>
      </c>
      <c r="M24" s="73"/>
      <c r="N24" s="73">
        <v>0</v>
      </c>
      <c r="O24" s="73"/>
      <c r="P24" s="73">
        <v>0</v>
      </c>
      <c r="Q24" s="73"/>
      <c r="R24" s="73">
        <v>0</v>
      </c>
      <c r="S24" s="73"/>
      <c r="T24" s="73">
        <v>92560.11</v>
      </c>
      <c r="U24" s="73"/>
      <c r="V24" s="73">
        <v>0</v>
      </c>
      <c r="W24" s="73"/>
      <c r="X24" s="73">
        <v>0</v>
      </c>
      <c r="Y24" s="73"/>
      <c r="Z24" s="73">
        <v>0</v>
      </c>
      <c r="AA24" s="73"/>
      <c r="AB24" s="73">
        <v>0</v>
      </c>
      <c r="AC24" s="73"/>
      <c r="AD24" s="73">
        <v>0</v>
      </c>
      <c r="AE24" s="73"/>
      <c r="AF24" s="73">
        <f t="shared" si="0"/>
        <v>1169634.4200000002</v>
      </c>
    </row>
    <row r="25" spans="1:55" s="4" customFormat="1" hidden="1">
      <c r="A25" s="4">
        <v>208</v>
      </c>
      <c r="B25" s="4" t="s">
        <v>75</v>
      </c>
      <c r="D25" s="4" t="s">
        <v>76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F25" s="4">
        <f t="shared" si="0"/>
        <v>0</v>
      </c>
    </row>
    <row r="26" spans="1:55" s="4" customFormat="1">
      <c r="A26" s="4">
        <v>8</v>
      </c>
      <c r="B26" s="4" t="s">
        <v>77</v>
      </c>
      <c r="D26" s="4" t="s">
        <v>41</v>
      </c>
      <c r="F26" s="73">
        <v>473</v>
      </c>
      <c r="G26" s="73"/>
      <c r="H26" s="73">
        <f>273638.27+2156</f>
        <v>275794.27</v>
      </c>
      <c r="I26" s="73"/>
      <c r="J26" s="73">
        <v>0</v>
      </c>
      <c r="K26" s="73"/>
      <c r="L26" s="73">
        <v>0</v>
      </c>
      <c r="M26" s="73"/>
      <c r="N26" s="73">
        <v>0</v>
      </c>
      <c r="O26" s="73"/>
      <c r="P26" s="73">
        <v>0</v>
      </c>
      <c r="Q26" s="73"/>
      <c r="R26" s="73">
        <v>0</v>
      </c>
      <c r="S26" s="73"/>
      <c r="T26" s="73">
        <v>0</v>
      </c>
      <c r="U26" s="73"/>
      <c r="V26" s="73">
        <v>0</v>
      </c>
      <c r="W26" s="73"/>
      <c r="X26" s="73">
        <v>0</v>
      </c>
      <c r="Y26" s="73"/>
      <c r="Z26" s="73">
        <v>0</v>
      </c>
      <c r="AA26" s="73"/>
      <c r="AB26" s="73">
        <v>0</v>
      </c>
      <c r="AC26" s="73"/>
      <c r="AD26" s="73">
        <v>0</v>
      </c>
      <c r="AE26" s="73"/>
      <c r="AF26" s="73">
        <f t="shared" si="0"/>
        <v>276267.27</v>
      </c>
    </row>
    <row r="27" spans="1:55" s="4" customFormat="1">
      <c r="A27" s="4">
        <v>58</v>
      </c>
      <c r="B27" s="4" t="s">
        <v>78</v>
      </c>
      <c r="D27" s="4" t="s">
        <v>79</v>
      </c>
      <c r="F27" s="6">
        <v>0</v>
      </c>
      <c r="G27" s="6"/>
      <c r="H27" s="6">
        <v>274851.34000000003</v>
      </c>
      <c r="I27" s="6"/>
      <c r="J27" s="6">
        <v>0</v>
      </c>
      <c r="K27" s="6"/>
      <c r="L27" s="6">
        <v>0</v>
      </c>
      <c r="M27" s="6"/>
      <c r="N27" s="6">
        <v>0</v>
      </c>
      <c r="O27" s="6"/>
      <c r="P27" s="6">
        <v>0</v>
      </c>
      <c r="Q27" s="6"/>
      <c r="R27" s="6">
        <v>0</v>
      </c>
      <c r="S27" s="6"/>
      <c r="T27" s="6">
        <v>34133.370000000003</v>
      </c>
      <c r="U27" s="6"/>
      <c r="V27" s="6">
        <v>0</v>
      </c>
      <c r="W27" s="6"/>
      <c r="X27" s="6">
        <v>0</v>
      </c>
      <c r="Y27" s="6"/>
      <c r="Z27" s="6">
        <v>0</v>
      </c>
      <c r="AA27" s="6"/>
      <c r="AB27" s="6">
        <v>0</v>
      </c>
      <c r="AC27" s="6"/>
      <c r="AD27" s="6">
        <v>0</v>
      </c>
      <c r="AE27" s="6"/>
      <c r="AF27" s="6">
        <f t="shared" si="0"/>
        <v>308984.71000000002</v>
      </c>
    </row>
    <row r="28" spans="1:55" s="4" customFormat="1">
      <c r="A28" s="4">
        <v>82</v>
      </c>
      <c r="B28" s="4" t="s">
        <v>296</v>
      </c>
      <c r="D28" s="4" t="s">
        <v>40</v>
      </c>
      <c r="F28" s="6">
        <v>0</v>
      </c>
      <c r="G28" s="6"/>
      <c r="H28" s="6">
        <v>354753</v>
      </c>
      <c r="I28" s="6"/>
      <c r="J28" s="6">
        <v>0</v>
      </c>
      <c r="K28" s="6"/>
      <c r="L28" s="6">
        <v>0</v>
      </c>
      <c r="M28" s="6"/>
      <c r="N28" s="6">
        <v>0</v>
      </c>
      <c r="O28" s="6"/>
      <c r="P28" s="6">
        <v>0</v>
      </c>
      <c r="Q28" s="6"/>
      <c r="R28" s="6">
        <v>0</v>
      </c>
      <c r="S28" s="6"/>
      <c r="T28" s="6">
        <v>15578.5</v>
      </c>
      <c r="U28" s="6"/>
      <c r="V28" s="6">
        <v>0</v>
      </c>
      <c r="W28" s="6"/>
      <c r="X28" s="6">
        <v>0</v>
      </c>
      <c r="Y28" s="6"/>
      <c r="Z28" s="6">
        <v>0</v>
      </c>
      <c r="AA28" s="6"/>
      <c r="AB28" s="6">
        <v>0</v>
      </c>
      <c r="AC28" s="6"/>
      <c r="AD28" s="6">
        <v>0</v>
      </c>
      <c r="AE28" s="6"/>
      <c r="AF28" s="6">
        <f t="shared" si="0"/>
        <v>370331.5</v>
      </c>
    </row>
    <row r="29" spans="1:55" s="4" customFormat="1">
      <c r="A29" s="4">
        <v>6</v>
      </c>
      <c r="B29" s="4" t="s">
        <v>80</v>
      </c>
      <c r="D29" s="4" t="s">
        <v>81</v>
      </c>
      <c r="F29" s="1">
        <v>116260</v>
      </c>
      <c r="G29" s="1"/>
      <c r="H29" s="1">
        <v>750217</v>
      </c>
      <c r="I29" s="1"/>
      <c r="J29" s="1">
        <v>157244</v>
      </c>
      <c r="K29" s="1"/>
      <c r="L29" s="1">
        <v>202148</v>
      </c>
      <c r="M29" s="1"/>
      <c r="N29" s="1">
        <v>193954</v>
      </c>
      <c r="O29" s="1"/>
      <c r="P29" s="1">
        <v>0</v>
      </c>
      <c r="Q29" s="1"/>
      <c r="R29" s="1">
        <v>0</v>
      </c>
      <c r="S29" s="1"/>
      <c r="T29" s="1">
        <v>60086</v>
      </c>
      <c r="U29" s="1"/>
      <c r="V29" s="1">
        <v>0</v>
      </c>
      <c r="W29" s="1"/>
      <c r="X29" s="1">
        <v>0</v>
      </c>
      <c r="Y29" s="1"/>
      <c r="Z29" s="1">
        <v>0</v>
      </c>
      <c r="AA29" s="1"/>
      <c r="AB29" s="1">
        <v>0</v>
      </c>
      <c r="AC29" s="1"/>
      <c r="AD29" s="1">
        <v>0</v>
      </c>
      <c r="AF29" s="4">
        <f t="shared" si="0"/>
        <v>1479909</v>
      </c>
    </row>
    <row r="30" spans="1:55" s="4" customFormat="1">
      <c r="A30" s="4">
        <v>9</v>
      </c>
      <c r="B30" s="4" t="s">
        <v>331</v>
      </c>
      <c r="D30" s="4" t="s">
        <v>41</v>
      </c>
      <c r="F30" s="6">
        <v>0</v>
      </c>
      <c r="G30" s="6"/>
      <c r="H30" s="6">
        <v>1316441.03</v>
      </c>
      <c r="I30" s="6"/>
      <c r="J30" s="6">
        <v>0</v>
      </c>
      <c r="K30" s="6"/>
      <c r="L30" s="6">
        <v>0</v>
      </c>
      <c r="M30" s="6"/>
      <c r="N30" s="6">
        <v>0</v>
      </c>
      <c r="O30" s="6"/>
      <c r="P30" s="6">
        <v>0</v>
      </c>
      <c r="Q30" s="6"/>
      <c r="R30" s="6">
        <v>0</v>
      </c>
      <c r="S30" s="6"/>
      <c r="T30" s="6">
        <v>0</v>
      </c>
      <c r="U30" s="6"/>
      <c r="V30" s="6">
        <v>0</v>
      </c>
      <c r="W30" s="6"/>
      <c r="X30" s="6">
        <v>0</v>
      </c>
      <c r="Y30" s="6"/>
      <c r="Z30" s="6">
        <v>0</v>
      </c>
      <c r="AA30" s="6"/>
      <c r="AB30" s="6">
        <v>0</v>
      </c>
      <c r="AC30" s="6"/>
      <c r="AD30" s="6">
        <v>0</v>
      </c>
      <c r="AE30" s="6"/>
      <c r="AF30" s="6">
        <f t="shared" si="0"/>
        <v>1316441.03</v>
      </c>
    </row>
    <row r="31" spans="1:55" s="4" customFormat="1">
      <c r="B31" s="4" t="s">
        <v>634</v>
      </c>
      <c r="D31" s="4" t="s">
        <v>208</v>
      </c>
      <c r="F31" s="6">
        <v>0</v>
      </c>
      <c r="G31" s="6"/>
      <c r="H31" s="6">
        <v>1603009.06</v>
      </c>
      <c r="I31" s="6"/>
      <c r="J31" s="6">
        <v>0</v>
      </c>
      <c r="K31" s="6"/>
      <c r="L31" s="6">
        <v>0</v>
      </c>
      <c r="M31" s="6"/>
      <c r="N31" s="6">
        <v>0</v>
      </c>
      <c r="O31" s="6"/>
      <c r="P31" s="6">
        <v>0</v>
      </c>
      <c r="Q31" s="6"/>
      <c r="R31" s="6">
        <v>0</v>
      </c>
      <c r="S31" s="6"/>
      <c r="T31" s="6">
        <v>143364.24</v>
      </c>
      <c r="U31" s="6"/>
      <c r="V31" s="6">
        <v>0</v>
      </c>
      <c r="W31" s="6"/>
      <c r="X31" s="6">
        <v>0</v>
      </c>
      <c r="Y31" s="6"/>
      <c r="Z31" s="6">
        <v>0</v>
      </c>
      <c r="AA31" s="6"/>
      <c r="AB31" s="6">
        <v>0</v>
      </c>
      <c r="AC31" s="6"/>
      <c r="AD31" s="6">
        <v>0</v>
      </c>
      <c r="AE31" s="6"/>
      <c r="AF31" s="6">
        <f t="shared" si="0"/>
        <v>1746373.3</v>
      </c>
    </row>
    <row r="32" spans="1:55" s="4" customFormat="1">
      <c r="A32" s="4">
        <v>17</v>
      </c>
      <c r="B32" s="4" t="s">
        <v>582</v>
      </c>
      <c r="D32" s="4" t="s">
        <v>42</v>
      </c>
      <c r="F32" s="6">
        <v>0</v>
      </c>
      <c r="G32" s="6"/>
      <c r="H32" s="6">
        <v>935807.31</v>
      </c>
      <c r="I32" s="6"/>
      <c r="J32" s="6">
        <v>0</v>
      </c>
      <c r="K32" s="6"/>
      <c r="L32" s="6">
        <v>0</v>
      </c>
      <c r="M32" s="6"/>
      <c r="N32" s="6">
        <v>0</v>
      </c>
      <c r="O32" s="6"/>
      <c r="P32" s="6">
        <v>0</v>
      </c>
      <c r="Q32" s="6"/>
      <c r="R32" s="6">
        <v>0</v>
      </c>
      <c r="S32" s="6"/>
      <c r="T32" s="6">
        <v>3346.08</v>
      </c>
      <c r="U32" s="6"/>
      <c r="V32" s="6">
        <v>0</v>
      </c>
      <c r="W32" s="6"/>
      <c r="X32" s="6">
        <v>0</v>
      </c>
      <c r="Y32" s="6"/>
      <c r="Z32" s="6">
        <v>0</v>
      </c>
      <c r="AA32" s="6"/>
      <c r="AB32" s="6">
        <v>0</v>
      </c>
      <c r="AC32" s="6"/>
      <c r="AD32" s="6">
        <v>0</v>
      </c>
      <c r="AE32" s="6"/>
      <c r="AF32" s="6">
        <f t="shared" si="0"/>
        <v>939153.39</v>
      </c>
    </row>
    <row r="33" spans="1:55" s="4" customFormat="1">
      <c r="A33" s="4">
        <v>141</v>
      </c>
      <c r="B33" s="4" t="s">
        <v>82</v>
      </c>
      <c r="D33" s="4" t="s">
        <v>55</v>
      </c>
      <c r="F33" s="1">
        <v>127379</v>
      </c>
      <c r="G33" s="1"/>
      <c r="H33" s="1">
        <v>1144997</v>
      </c>
      <c r="I33" s="1"/>
      <c r="J33" s="1">
        <v>118285</v>
      </c>
      <c r="K33" s="1"/>
      <c r="L33" s="1">
        <v>253825</v>
      </c>
      <c r="M33" s="1"/>
      <c r="N33" s="1">
        <v>518447</v>
      </c>
      <c r="O33" s="1"/>
      <c r="P33" s="1">
        <v>0</v>
      </c>
      <c r="Q33" s="1"/>
      <c r="R33" s="1">
        <v>0</v>
      </c>
      <c r="S33" s="1"/>
      <c r="T33" s="1">
        <v>16101</v>
      </c>
      <c r="U33" s="1"/>
      <c r="V33" s="1">
        <v>0</v>
      </c>
      <c r="W33" s="1"/>
      <c r="X33" s="1">
        <v>0</v>
      </c>
      <c r="Y33" s="1"/>
      <c r="Z33" s="1">
        <v>0</v>
      </c>
      <c r="AA33" s="1"/>
      <c r="AB33" s="1">
        <v>0</v>
      </c>
      <c r="AC33" s="1"/>
      <c r="AD33" s="1">
        <v>0</v>
      </c>
      <c r="AF33" s="4">
        <f t="shared" si="0"/>
        <v>2179034</v>
      </c>
    </row>
    <row r="34" spans="1:55" s="4" customFormat="1">
      <c r="A34" s="4">
        <v>217</v>
      </c>
      <c r="B34" s="4" t="s">
        <v>353</v>
      </c>
      <c r="D34" s="4" t="s">
        <v>20</v>
      </c>
      <c r="F34" s="6">
        <f>51211.75+280.37</f>
        <v>51492.12</v>
      </c>
      <c r="G34" s="6"/>
      <c r="H34" s="6">
        <v>816180</v>
      </c>
      <c r="I34" s="6"/>
      <c r="J34" s="6">
        <v>134037.74</v>
      </c>
      <c r="K34" s="6"/>
      <c r="L34" s="6">
        <v>92412.86</v>
      </c>
      <c r="M34" s="6"/>
      <c r="N34" s="6">
        <v>54719.33</v>
      </c>
      <c r="O34" s="6"/>
      <c r="P34" s="6">
        <v>0</v>
      </c>
      <c r="Q34" s="6"/>
      <c r="R34" s="6">
        <v>0</v>
      </c>
      <c r="S34" s="6"/>
      <c r="T34" s="6">
        <v>101831.49</v>
      </c>
      <c r="U34" s="6"/>
      <c r="V34" s="6">
        <v>0</v>
      </c>
      <c r="W34" s="6"/>
      <c r="X34" s="6">
        <v>0</v>
      </c>
      <c r="Y34" s="6"/>
      <c r="Z34" s="6">
        <v>167622.01</v>
      </c>
      <c r="AA34" s="6"/>
      <c r="AB34" s="6">
        <v>0</v>
      </c>
      <c r="AC34" s="6"/>
      <c r="AD34" s="6">
        <v>0</v>
      </c>
      <c r="AE34" s="6"/>
      <c r="AF34" s="6">
        <f t="shared" si="0"/>
        <v>1418295.55</v>
      </c>
    </row>
    <row r="35" spans="1:55" s="4" customFormat="1">
      <c r="A35" s="4">
        <v>19</v>
      </c>
      <c r="B35" s="4" t="s">
        <v>19</v>
      </c>
      <c r="D35" s="4" t="s">
        <v>11</v>
      </c>
      <c r="F35" s="1">
        <v>17754</v>
      </c>
      <c r="G35" s="1"/>
      <c r="H35" s="1">
        <v>1762</v>
      </c>
      <c r="I35" s="1"/>
      <c r="J35" s="1">
        <v>64127</v>
      </c>
      <c r="K35" s="1"/>
      <c r="L35" s="1">
        <v>60220</v>
      </c>
      <c r="M35" s="1"/>
      <c r="N35" s="1">
        <v>269179</v>
      </c>
      <c r="O35" s="1"/>
      <c r="P35" s="1">
        <v>0</v>
      </c>
      <c r="Q35" s="1"/>
      <c r="R35" s="1">
        <v>0</v>
      </c>
      <c r="S35" s="1"/>
      <c r="T35" s="1">
        <v>31997</v>
      </c>
      <c r="U35" s="1"/>
      <c r="V35" s="1">
        <v>0</v>
      </c>
      <c r="W35" s="1"/>
      <c r="X35" s="1">
        <v>0</v>
      </c>
      <c r="Y35" s="1"/>
      <c r="Z35" s="1">
        <v>30000</v>
      </c>
      <c r="AA35" s="1"/>
      <c r="AB35" s="1">
        <v>0</v>
      </c>
      <c r="AC35" s="1"/>
      <c r="AD35" s="1">
        <v>0</v>
      </c>
      <c r="AF35" s="4">
        <f t="shared" si="0"/>
        <v>475039</v>
      </c>
    </row>
    <row r="36" spans="1:55" s="4" customFormat="1">
      <c r="A36" s="4">
        <v>20</v>
      </c>
      <c r="B36" s="4" t="s">
        <v>83</v>
      </c>
      <c r="D36" s="4" t="s">
        <v>11</v>
      </c>
      <c r="F36" s="6">
        <v>3855.54</v>
      </c>
      <c r="G36" s="6"/>
      <c r="H36" s="6">
        <v>335533</v>
      </c>
      <c r="I36" s="6"/>
      <c r="J36" s="6">
        <v>56397.36</v>
      </c>
      <c r="K36" s="6"/>
      <c r="L36" s="6">
        <v>59810.1</v>
      </c>
      <c r="M36" s="6"/>
      <c r="N36" s="6">
        <v>23396.240000000002</v>
      </c>
      <c r="O36" s="6"/>
      <c r="P36" s="6">
        <v>0</v>
      </c>
      <c r="Q36" s="6"/>
      <c r="R36" s="6">
        <v>0</v>
      </c>
      <c r="S36" s="6"/>
      <c r="T36" s="6">
        <v>7488.64</v>
      </c>
      <c r="U36" s="6"/>
      <c r="V36" s="6">
        <v>0</v>
      </c>
      <c r="W36" s="6"/>
      <c r="X36" s="6">
        <v>0</v>
      </c>
      <c r="Y36" s="6"/>
      <c r="Z36" s="6">
        <v>0</v>
      </c>
      <c r="AA36" s="6"/>
      <c r="AB36" s="6">
        <v>0</v>
      </c>
      <c r="AC36" s="6"/>
      <c r="AD36" s="6">
        <v>35.26</v>
      </c>
      <c r="AE36" s="6"/>
      <c r="AF36" s="6">
        <f t="shared" si="0"/>
        <v>486516.13999999996</v>
      </c>
    </row>
    <row r="37" spans="1:55" s="4" customFormat="1">
      <c r="A37" s="4">
        <v>137</v>
      </c>
      <c r="B37" s="4" t="s">
        <v>84</v>
      </c>
      <c r="D37" s="4" t="s">
        <v>85</v>
      </c>
      <c r="F37" s="1">
        <v>0</v>
      </c>
      <c r="G37" s="1"/>
      <c r="H37" s="1">
        <v>75962</v>
      </c>
      <c r="I37" s="1"/>
      <c r="J37" s="1">
        <v>0</v>
      </c>
      <c r="K37" s="1"/>
      <c r="L37" s="1">
        <v>0</v>
      </c>
      <c r="M37" s="1"/>
      <c r="N37" s="1">
        <v>0</v>
      </c>
      <c r="O37" s="1"/>
      <c r="P37" s="1">
        <v>0</v>
      </c>
      <c r="Q37" s="1"/>
      <c r="R37" s="1">
        <v>0</v>
      </c>
      <c r="S37" s="1"/>
      <c r="T37" s="1">
        <v>0</v>
      </c>
      <c r="U37" s="1"/>
      <c r="V37" s="1">
        <v>0</v>
      </c>
      <c r="W37" s="1"/>
      <c r="X37" s="1">
        <v>0</v>
      </c>
      <c r="Y37" s="1"/>
      <c r="Z37" s="1">
        <v>0</v>
      </c>
      <c r="AA37" s="1"/>
      <c r="AB37" s="1">
        <v>0</v>
      </c>
      <c r="AC37" s="1"/>
      <c r="AD37" s="1">
        <v>0</v>
      </c>
      <c r="AF37" s="4">
        <f t="shared" si="0"/>
        <v>75962</v>
      </c>
    </row>
    <row r="38" spans="1:55" s="4" customFormat="1">
      <c r="A38" s="4">
        <v>110</v>
      </c>
      <c r="B38" s="4" t="s">
        <v>86</v>
      </c>
      <c r="D38" s="4" t="s">
        <v>87</v>
      </c>
      <c r="F38" s="1">
        <v>26284</v>
      </c>
      <c r="G38" s="1"/>
      <c r="H38" s="1">
        <v>682699</v>
      </c>
      <c r="I38" s="1"/>
      <c r="J38" s="1">
        <v>8620</v>
      </c>
      <c r="K38" s="1"/>
      <c r="L38" s="1">
        <v>30707</v>
      </c>
      <c r="M38" s="1"/>
      <c r="N38" s="1">
        <v>74715</v>
      </c>
      <c r="O38" s="1"/>
      <c r="P38" s="1">
        <v>0</v>
      </c>
      <c r="Q38" s="1"/>
      <c r="R38" s="1">
        <v>0</v>
      </c>
      <c r="S38" s="1"/>
      <c r="T38" s="1">
        <v>5090</v>
      </c>
      <c r="U38" s="1"/>
      <c r="V38" s="1">
        <v>0</v>
      </c>
      <c r="W38" s="1"/>
      <c r="X38" s="1">
        <v>0</v>
      </c>
      <c r="Y38" s="1"/>
      <c r="Z38" s="1">
        <v>0</v>
      </c>
      <c r="AA38" s="1"/>
      <c r="AB38" s="1">
        <v>0</v>
      </c>
      <c r="AC38" s="1"/>
      <c r="AD38" s="1">
        <v>0</v>
      </c>
      <c r="AF38" s="4">
        <f t="shared" si="0"/>
        <v>828115</v>
      </c>
    </row>
    <row r="39" spans="1:55" s="4" customFormat="1">
      <c r="A39" s="4">
        <v>203</v>
      </c>
      <c r="B39" s="4" t="s">
        <v>88</v>
      </c>
      <c r="D39" s="4" t="s">
        <v>43</v>
      </c>
      <c r="F39" s="1">
        <v>0</v>
      </c>
      <c r="G39" s="1"/>
      <c r="H39" s="1">
        <v>47762</v>
      </c>
      <c r="I39" s="1"/>
      <c r="J39" s="1">
        <v>32382</v>
      </c>
      <c r="K39" s="1"/>
      <c r="L39" s="1">
        <v>11287</v>
      </c>
      <c r="M39" s="1"/>
      <c r="N39" s="1">
        <v>20735</v>
      </c>
      <c r="O39" s="1"/>
      <c r="P39" s="1">
        <v>0</v>
      </c>
      <c r="Q39" s="1"/>
      <c r="R39" s="1">
        <v>0</v>
      </c>
      <c r="S39" s="1"/>
      <c r="T39" s="1">
        <v>2098</v>
      </c>
      <c r="U39" s="1"/>
      <c r="V39" s="1">
        <v>0</v>
      </c>
      <c r="W39" s="1"/>
      <c r="X39" s="1">
        <v>0</v>
      </c>
      <c r="Y39" s="1"/>
      <c r="Z39" s="1">
        <v>13614</v>
      </c>
      <c r="AA39" s="1"/>
      <c r="AB39" s="1">
        <v>0</v>
      </c>
      <c r="AC39" s="1"/>
      <c r="AD39" s="1">
        <v>0</v>
      </c>
      <c r="AF39" s="4">
        <f t="shared" si="0"/>
        <v>127878</v>
      </c>
    </row>
    <row r="40" spans="1:55" s="4" customFormat="1">
      <c r="A40" s="4">
        <v>74</v>
      </c>
      <c r="B40" s="4" t="s">
        <v>297</v>
      </c>
      <c r="D40" s="4" t="s">
        <v>90</v>
      </c>
      <c r="F40" s="76">
        <v>0</v>
      </c>
      <c r="G40" s="76"/>
      <c r="H40" s="76">
        <v>2000227.55</v>
      </c>
      <c r="I40" s="76"/>
      <c r="J40" s="76">
        <v>0</v>
      </c>
      <c r="K40" s="76"/>
      <c r="L40" s="76">
        <v>0</v>
      </c>
      <c r="M40" s="76"/>
      <c r="N40" s="76">
        <v>0</v>
      </c>
      <c r="O40" s="76"/>
      <c r="P40" s="76">
        <v>0</v>
      </c>
      <c r="Q40" s="76"/>
      <c r="R40" s="76">
        <v>0</v>
      </c>
      <c r="S40" s="76"/>
      <c r="T40" s="76">
        <v>108018.21</v>
      </c>
      <c r="U40" s="76"/>
      <c r="V40" s="76">
        <v>0</v>
      </c>
      <c r="W40" s="76"/>
      <c r="X40" s="76">
        <v>0</v>
      </c>
      <c r="Y40" s="76"/>
      <c r="Z40" s="76">
        <v>75000</v>
      </c>
      <c r="AA40" s="76"/>
      <c r="AB40" s="76">
        <v>0</v>
      </c>
      <c r="AC40" s="76"/>
      <c r="AD40" s="76">
        <v>0</v>
      </c>
      <c r="AE40" s="76"/>
      <c r="AF40" s="76">
        <f t="shared" ref="AF40:AF71" si="1">SUM(F40:AD40)</f>
        <v>2183245.7600000002</v>
      </c>
    </row>
    <row r="41" spans="1:55" s="4" customFormat="1">
      <c r="A41" s="4">
        <v>200</v>
      </c>
      <c r="B41" s="4" t="s">
        <v>91</v>
      </c>
      <c r="D41" s="4" t="s">
        <v>92</v>
      </c>
      <c r="F41" s="1">
        <v>142457</v>
      </c>
      <c r="G41" s="1"/>
      <c r="H41" s="1">
        <v>1083333</v>
      </c>
      <c r="I41" s="1"/>
      <c r="J41" s="1">
        <v>217141</v>
      </c>
      <c r="K41" s="1"/>
      <c r="L41" s="1">
        <v>162959</v>
      </c>
      <c r="M41" s="1"/>
      <c r="N41" s="1">
        <v>132765</v>
      </c>
      <c r="O41" s="1"/>
      <c r="P41" s="1">
        <v>0</v>
      </c>
      <c r="Q41" s="1"/>
      <c r="R41" s="1">
        <v>0</v>
      </c>
      <c r="S41" s="1"/>
      <c r="T41" s="1">
        <v>52025</v>
      </c>
      <c r="U41" s="1"/>
      <c r="V41" s="1">
        <v>0</v>
      </c>
      <c r="W41" s="1"/>
      <c r="X41" s="1">
        <v>0</v>
      </c>
      <c r="Y41" s="1"/>
      <c r="Z41" s="1">
        <v>100000</v>
      </c>
      <c r="AA41" s="1"/>
      <c r="AB41" s="1">
        <v>4400</v>
      </c>
      <c r="AC41" s="1"/>
      <c r="AD41" s="1">
        <v>0</v>
      </c>
      <c r="AF41" s="4">
        <f t="shared" si="1"/>
        <v>1895080</v>
      </c>
    </row>
    <row r="42" spans="1:55" s="4" customFormat="1" hidden="1">
      <c r="A42" s="4">
        <v>35</v>
      </c>
      <c r="B42" s="4" t="s">
        <v>93</v>
      </c>
      <c r="D42" s="4" t="s">
        <v>67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F42" s="4">
        <f t="shared" si="1"/>
        <v>0</v>
      </c>
    </row>
    <row r="43" spans="1:55" s="4" customFormat="1">
      <c r="A43" s="4">
        <v>204</v>
      </c>
      <c r="B43" s="4" t="s">
        <v>94</v>
      </c>
      <c r="D43" s="4" t="s">
        <v>43</v>
      </c>
      <c r="F43" s="6">
        <v>0</v>
      </c>
      <c r="G43" s="6"/>
      <c r="H43" s="6">
        <v>131583.43</v>
      </c>
      <c r="I43" s="6"/>
      <c r="J43" s="6">
        <v>0</v>
      </c>
      <c r="K43" s="6"/>
      <c r="L43" s="6">
        <v>163.16999999999999</v>
      </c>
      <c r="M43" s="6"/>
      <c r="N43" s="6">
        <v>0</v>
      </c>
      <c r="O43" s="6"/>
      <c r="P43" s="6">
        <v>0</v>
      </c>
      <c r="Q43" s="6"/>
      <c r="R43" s="6">
        <v>0</v>
      </c>
      <c r="S43" s="6"/>
      <c r="T43" s="6">
        <v>45573.15</v>
      </c>
      <c r="U43" s="6"/>
      <c r="V43" s="6">
        <v>0</v>
      </c>
      <c r="W43" s="6"/>
      <c r="X43" s="6">
        <v>0</v>
      </c>
      <c r="Y43" s="6"/>
      <c r="Z43" s="6">
        <v>97203.22</v>
      </c>
      <c r="AA43" s="6"/>
      <c r="AB43" s="6">
        <v>0</v>
      </c>
      <c r="AC43" s="6"/>
      <c r="AD43" s="6">
        <v>1127.94</v>
      </c>
      <c r="AE43" s="6"/>
      <c r="AF43" s="6">
        <f t="shared" si="1"/>
        <v>275650.90999999997</v>
      </c>
    </row>
    <row r="44" spans="1:55" s="4" customFormat="1">
      <c r="A44" s="4">
        <v>3</v>
      </c>
      <c r="B44" s="4" t="s">
        <v>298</v>
      </c>
      <c r="D44" s="4" t="s">
        <v>95</v>
      </c>
      <c r="F44" s="6">
        <v>0</v>
      </c>
      <c r="G44" s="6"/>
      <c r="H44" s="6">
        <v>214250</v>
      </c>
      <c r="I44" s="6"/>
      <c r="J44" s="6">
        <v>25973.21</v>
      </c>
      <c r="K44" s="6"/>
      <c r="L44" s="6">
        <v>38808.06</v>
      </c>
      <c r="M44" s="6"/>
      <c r="N44" s="6">
        <v>25884.13</v>
      </c>
      <c r="O44" s="6"/>
      <c r="P44" s="6">
        <v>0</v>
      </c>
      <c r="Q44" s="6"/>
      <c r="R44" s="6">
        <v>0</v>
      </c>
      <c r="S44" s="6"/>
      <c r="T44" s="6">
        <v>6981.72</v>
      </c>
      <c r="U44" s="6"/>
      <c r="V44" s="6">
        <v>0</v>
      </c>
      <c r="W44" s="6"/>
      <c r="X44" s="6">
        <v>0</v>
      </c>
      <c r="Y44" s="6"/>
      <c r="Z44" s="6">
        <v>0</v>
      </c>
      <c r="AA44" s="6"/>
      <c r="AB44" s="6">
        <v>0</v>
      </c>
      <c r="AC44" s="6"/>
      <c r="AD44" s="6">
        <v>0</v>
      </c>
      <c r="AE44" s="6"/>
      <c r="AF44" s="6">
        <f t="shared" si="1"/>
        <v>311897.12</v>
      </c>
    </row>
    <row r="45" spans="1:55" s="14" customFormat="1">
      <c r="A45" s="4">
        <v>101</v>
      </c>
      <c r="B45" s="4" t="s">
        <v>96</v>
      </c>
      <c r="C45" s="4"/>
      <c r="D45" s="4" t="s">
        <v>44</v>
      </c>
      <c r="E45" s="4"/>
      <c r="F45" s="6">
        <v>0</v>
      </c>
      <c r="G45" s="6"/>
      <c r="H45" s="6">
        <v>172985.66</v>
      </c>
      <c r="I45" s="6"/>
      <c r="J45" s="6">
        <v>0</v>
      </c>
      <c r="K45" s="6"/>
      <c r="L45" s="6">
        <v>0</v>
      </c>
      <c r="M45" s="6"/>
      <c r="N45" s="6">
        <v>0</v>
      </c>
      <c r="O45" s="6"/>
      <c r="P45" s="6">
        <v>0</v>
      </c>
      <c r="Q45" s="6"/>
      <c r="R45" s="6">
        <v>0</v>
      </c>
      <c r="S45" s="6"/>
      <c r="T45" s="6">
        <v>4594.1000000000004</v>
      </c>
      <c r="U45" s="6"/>
      <c r="V45" s="6">
        <v>0</v>
      </c>
      <c r="W45" s="6"/>
      <c r="X45" s="6">
        <v>0</v>
      </c>
      <c r="Y45" s="6"/>
      <c r="Z45" s="6">
        <v>0</v>
      </c>
      <c r="AA45" s="6"/>
      <c r="AB45" s="6">
        <v>0</v>
      </c>
      <c r="AC45" s="6"/>
      <c r="AD45" s="6">
        <v>0</v>
      </c>
      <c r="AE45" s="6"/>
      <c r="AF45" s="6">
        <f t="shared" si="1"/>
        <v>177579.76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s="4" customFormat="1">
      <c r="A46" s="4">
        <v>162</v>
      </c>
      <c r="B46" s="4" t="s">
        <v>97</v>
      </c>
      <c r="D46" s="4" t="s">
        <v>51</v>
      </c>
      <c r="F46" s="6">
        <v>0</v>
      </c>
      <c r="G46" s="6"/>
      <c r="H46" s="6">
        <v>157801.85999999999</v>
      </c>
      <c r="I46" s="6"/>
      <c r="J46" s="6">
        <v>0</v>
      </c>
      <c r="K46" s="6"/>
      <c r="L46" s="6">
        <v>0</v>
      </c>
      <c r="M46" s="6"/>
      <c r="N46" s="6">
        <v>0</v>
      </c>
      <c r="O46" s="6"/>
      <c r="P46" s="6">
        <v>0</v>
      </c>
      <c r="Q46" s="6"/>
      <c r="R46" s="6">
        <v>0</v>
      </c>
      <c r="S46" s="6"/>
      <c r="T46" s="6">
        <v>9863.09</v>
      </c>
      <c r="U46" s="6"/>
      <c r="V46" s="6">
        <v>0</v>
      </c>
      <c r="W46" s="6"/>
      <c r="X46" s="6">
        <v>0</v>
      </c>
      <c r="Y46" s="6"/>
      <c r="Z46" s="6">
        <v>0</v>
      </c>
      <c r="AA46" s="6"/>
      <c r="AB46" s="6">
        <v>0</v>
      </c>
      <c r="AC46" s="6"/>
      <c r="AD46" s="6">
        <v>0</v>
      </c>
      <c r="AE46" s="6"/>
      <c r="AF46" s="6">
        <f t="shared" si="1"/>
        <v>167664.94999999998</v>
      </c>
    </row>
    <row r="47" spans="1:55" s="4" customFormat="1">
      <c r="A47" s="39">
        <v>130.1</v>
      </c>
      <c r="B47" s="4" t="s">
        <v>570</v>
      </c>
      <c r="D47" s="4" t="s">
        <v>571</v>
      </c>
      <c r="F47" s="1">
        <v>24507</v>
      </c>
      <c r="G47" s="1"/>
      <c r="H47" s="1">
        <v>1480697</v>
      </c>
      <c r="I47" s="1"/>
      <c r="J47" s="1">
        <v>137995</v>
      </c>
      <c r="K47" s="1"/>
      <c r="L47" s="1">
        <v>112790</v>
      </c>
      <c r="M47" s="1"/>
      <c r="N47" s="1">
        <v>81522</v>
      </c>
      <c r="O47" s="1"/>
      <c r="P47" s="1">
        <v>0</v>
      </c>
      <c r="Q47" s="1"/>
      <c r="R47" s="1">
        <v>0</v>
      </c>
      <c r="S47" s="1"/>
      <c r="T47" s="1">
        <v>0</v>
      </c>
      <c r="U47" s="1"/>
      <c r="V47" s="1">
        <v>0</v>
      </c>
      <c r="W47" s="1"/>
      <c r="X47" s="1">
        <v>0</v>
      </c>
      <c r="Y47" s="1"/>
      <c r="Z47" s="1">
        <v>19000</v>
      </c>
      <c r="AA47" s="1"/>
      <c r="AB47" s="1">
        <v>0</v>
      </c>
      <c r="AC47" s="1"/>
      <c r="AD47" s="1">
        <v>0</v>
      </c>
      <c r="AF47" s="4">
        <f t="shared" si="1"/>
        <v>1856511</v>
      </c>
    </row>
    <row r="48" spans="1:55" s="4" customFormat="1">
      <c r="A48" s="4">
        <v>223</v>
      </c>
      <c r="B48" s="4" t="s">
        <v>493</v>
      </c>
      <c r="D48" s="4" t="s">
        <v>54</v>
      </c>
      <c r="F48" s="1">
        <v>232623</v>
      </c>
      <c r="G48" s="1"/>
      <c r="H48" s="1">
        <v>0</v>
      </c>
      <c r="I48" s="1"/>
      <c r="J48" s="1">
        <v>0</v>
      </c>
      <c r="K48" s="1"/>
      <c r="L48" s="1">
        <v>0</v>
      </c>
      <c r="M48" s="1"/>
      <c r="N48" s="1">
        <v>100113</v>
      </c>
      <c r="O48" s="1"/>
      <c r="P48" s="1">
        <v>0</v>
      </c>
      <c r="Q48" s="1"/>
      <c r="R48" s="1">
        <v>0</v>
      </c>
      <c r="S48" s="1"/>
      <c r="T48" s="1">
        <v>0</v>
      </c>
      <c r="U48" s="1"/>
      <c r="V48" s="1">
        <v>0</v>
      </c>
      <c r="W48" s="1"/>
      <c r="X48" s="1">
        <v>0</v>
      </c>
      <c r="Y48" s="1"/>
      <c r="Z48" s="1">
        <v>0</v>
      </c>
      <c r="AA48" s="1"/>
      <c r="AB48" s="1">
        <v>0</v>
      </c>
      <c r="AC48" s="1"/>
      <c r="AD48" s="1">
        <v>0</v>
      </c>
      <c r="AF48" s="4">
        <f t="shared" si="1"/>
        <v>332736</v>
      </c>
    </row>
    <row r="49" spans="1:32" s="4" customFormat="1">
      <c r="A49" s="4">
        <v>23</v>
      </c>
      <c r="B49" s="4" t="s">
        <v>468</v>
      </c>
      <c r="D49" s="4" t="s">
        <v>45</v>
      </c>
      <c r="F49" s="6">
        <v>0</v>
      </c>
      <c r="G49" s="6"/>
      <c r="H49" s="6">
        <v>1106066.26</v>
      </c>
      <c r="I49" s="6"/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0</v>
      </c>
      <c r="S49" s="6"/>
      <c r="T49" s="6">
        <v>239</v>
      </c>
      <c r="U49" s="6"/>
      <c r="V49" s="6">
        <v>0</v>
      </c>
      <c r="W49" s="6"/>
      <c r="X49" s="6">
        <v>0</v>
      </c>
      <c r="Y49" s="6"/>
      <c r="Z49" s="6">
        <v>40000</v>
      </c>
      <c r="AA49" s="6"/>
      <c r="AB49" s="6">
        <v>2295.44</v>
      </c>
      <c r="AC49" s="6"/>
      <c r="AD49" s="6">
        <v>0</v>
      </c>
      <c r="AE49" s="6"/>
      <c r="AF49" s="6">
        <f t="shared" si="1"/>
        <v>1148600.7</v>
      </c>
    </row>
    <row r="50" spans="1:32" s="4" customFormat="1">
      <c r="A50" s="4">
        <v>194</v>
      </c>
      <c r="B50" s="4" t="s">
        <v>99</v>
      </c>
      <c r="D50" s="4" t="s">
        <v>100</v>
      </c>
      <c r="F50" s="1">
        <v>315</v>
      </c>
      <c r="G50" s="1"/>
      <c r="H50" s="1">
        <v>1870</v>
      </c>
      <c r="I50" s="1"/>
      <c r="J50" s="1">
        <v>10988</v>
      </c>
      <c r="K50" s="1"/>
      <c r="L50" s="1">
        <v>95107</v>
      </c>
      <c r="M50" s="1"/>
      <c r="N50" s="1">
        <v>4175</v>
      </c>
      <c r="O50" s="1"/>
      <c r="P50" s="1">
        <v>0</v>
      </c>
      <c r="Q50" s="1"/>
      <c r="R50" s="1">
        <v>0</v>
      </c>
      <c r="S50" s="1"/>
      <c r="T50" s="1">
        <v>625</v>
      </c>
      <c r="U50" s="1"/>
      <c r="V50" s="1">
        <v>0</v>
      </c>
      <c r="W50" s="1"/>
      <c r="X50" s="1">
        <v>0</v>
      </c>
      <c r="Y50" s="1"/>
      <c r="Z50" s="1">
        <v>0</v>
      </c>
      <c r="AA50" s="1"/>
      <c r="AB50" s="1">
        <v>0</v>
      </c>
      <c r="AC50" s="1"/>
      <c r="AD50" s="1">
        <v>0</v>
      </c>
      <c r="AF50" s="4">
        <f t="shared" si="1"/>
        <v>113080</v>
      </c>
    </row>
    <row r="51" spans="1:32" s="4" customFormat="1">
      <c r="A51" s="4">
        <v>46</v>
      </c>
      <c r="B51" s="4" t="s">
        <v>101</v>
      </c>
      <c r="D51" s="4" t="s">
        <v>50</v>
      </c>
      <c r="F51" s="1">
        <v>0</v>
      </c>
      <c r="G51" s="1"/>
      <c r="H51" s="1">
        <v>131846</v>
      </c>
      <c r="I51" s="1"/>
      <c r="J51" s="1">
        <v>46489</v>
      </c>
      <c r="K51" s="1"/>
      <c r="L51" s="1">
        <v>321167</v>
      </c>
      <c r="M51" s="1"/>
      <c r="N51" s="1">
        <v>0</v>
      </c>
      <c r="O51" s="1"/>
      <c r="P51" s="1">
        <v>0</v>
      </c>
      <c r="Q51" s="1"/>
      <c r="R51" s="1">
        <v>0</v>
      </c>
      <c r="S51" s="1"/>
      <c r="T51" s="1">
        <v>22788</v>
      </c>
      <c r="U51" s="1"/>
      <c r="V51" s="1">
        <v>134130</v>
      </c>
      <c r="W51" s="1"/>
      <c r="X51" s="1">
        <v>0</v>
      </c>
      <c r="Y51" s="1"/>
      <c r="Z51" s="1">
        <v>103568</v>
      </c>
      <c r="AA51" s="1"/>
      <c r="AB51" s="1">
        <v>0</v>
      </c>
      <c r="AC51" s="1"/>
      <c r="AD51" s="1">
        <v>0</v>
      </c>
      <c r="AF51" s="4">
        <f t="shared" si="1"/>
        <v>759988</v>
      </c>
    </row>
    <row r="52" spans="1:32" s="4" customFormat="1">
      <c r="A52" s="4">
        <v>89</v>
      </c>
      <c r="B52" s="4" t="s">
        <v>102</v>
      </c>
      <c r="D52" s="4" t="s">
        <v>15</v>
      </c>
      <c r="F52" s="6">
        <v>10924.59</v>
      </c>
      <c r="G52" s="6"/>
      <c r="H52" s="6">
        <v>714674.74</v>
      </c>
      <c r="I52" s="6"/>
      <c r="J52" s="6">
        <v>0</v>
      </c>
      <c r="K52" s="6"/>
      <c r="L52" s="6">
        <v>0</v>
      </c>
      <c r="M52" s="6"/>
      <c r="N52" s="6">
        <v>0</v>
      </c>
      <c r="O52" s="6"/>
      <c r="P52" s="6">
        <v>0</v>
      </c>
      <c r="Q52" s="6"/>
      <c r="R52" s="6">
        <v>0</v>
      </c>
      <c r="S52" s="6"/>
      <c r="T52" s="6">
        <v>17288.98</v>
      </c>
      <c r="U52" s="6"/>
      <c r="V52" s="6">
        <v>15000</v>
      </c>
      <c r="W52" s="6"/>
      <c r="X52" s="6">
        <v>1386</v>
      </c>
      <c r="Y52" s="6"/>
      <c r="Z52" s="6">
        <v>0</v>
      </c>
      <c r="AA52" s="6"/>
      <c r="AB52" s="6">
        <v>0</v>
      </c>
      <c r="AC52" s="6"/>
      <c r="AD52" s="6">
        <v>0</v>
      </c>
      <c r="AE52" s="6"/>
      <c r="AF52" s="6">
        <f t="shared" si="1"/>
        <v>759274.30999999994</v>
      </c>
    </row>
    <row r="53" spans="1:32" s="4" customFormat="1">
      <c r="A53" s="4">
        <v>179</v>
      </c>
      <c r="B53" s="4" t="s">
        <v>103</v>
      </c>
      <c r="D53" s="4" t="s">
        <v>104</v>
      </c>
      <c r="F53" s="6">
        <v>0</v>
      </c>
      <c r="G53" s="6"/>
      <c r="H53" s="6">
        <v>305641.56</v>
      </c>
      <c r="I53" s="6"/>
      <c r="J53" s="6">
        <v>0</v>
      </c>
      <c r="K53" s="6"/>
      <c r="L53" s="6">
        <v>0</v>
      </c>
      <c r="M53" s="6"/>
      <c r="N53" s="6">
        <v>0</v>
      </c>
      <c r="O53" s="6"/>
      <c r="P53" s="6">
        <v>0</v>
      </c>
      <c r="Q53" s="6"/>
      <c r="R53" s="6">
        <v>0</v>
      </c>
      <c r="S53" s="6"/>
      <c r="T53" s="6">
        <v>9233.1299999999992</v>
      </c>
      <c r="U53" s="6"/>
      <c r="V53" s="6">
        <v>0</v>
      </c>
      <c r="W53" s="6"/>
      <c r="X53" s="6">
        <v>0</v>
      </c>
      <c r="Y53" s="6"/>
      <c r="Z53" s="6">
        <v>0</v>
      </c>
      <c r="AA53" s="6"/>
      <c r="AB53" s="6">
        <v>0</v>
      </c>
      <c r="AC53" s="6"/>
      <c r="AD53" s="6">
        <v>0</v>
      </c>
      <c r="AE53" s="6"/>
      <c r="AF53" s="6">
        <f t="shared" si="1"/>
        <v>314874.69</v>
      </c>
    </row>
    <row r="54" spans="1:32" s="4" customFormat="1">
      <c r="A54" s="4">
        <v>209</v>
      </c>
      <c r="B54" s="4" t="s">
        <v>105</v>
      </c>
      <c r="D54" s="4" t="s">
        <v>23</v>
      </c>
      <c r="F54" s="6">
        <v>0</v>
      </c>
      <c r="G54" s="6"/>
      <c r="H54" s="6">
        <v>796131.66</v>
      </c>
      <c r="I54" s="6"/>
      <c r="J54" s="6">
        <v>0</v>
      </c>
      <c r="K54" s="6"/>
      <c r="L54" s="6">
        <v>0</v>
      </c>
      <c r="M54" s="6"/>
      <c r="N54" s="6">
        <v>0</v>
      </c>
      <c r="O54" s="6"/>
      <c r="P54" s="6">
        <v>0</v>
      </c>
      <c r="Q54" s="6"/>
      <c r="R54" s="6">
        <v>0</v>
      </c>
      <c r="S54" s="6"/>
      <c r="T54" s="6">
        <v>0</v>
      </c>
      <c r="U54" s="6"/>
      <c r="V54" s="6">
        <v>0</v>
      </c>
      <c r="W54" s="6"/>
      <c r="X54" s="6">
        <v>0</v>
      </c>
      <c r="Y54" s="6"/>
      <c r="Z54" s="6">
        <v>0</v>
      </c>
      <c r="AA54" s="6"/>
      <c r="AB54" s="6">
        <v>0</v>
      </c>
      <c r="AC54" s="6"/>
      <c r="AD54" s="6">
        <v>0</v>
      </c>
      <c r="AE54" s="6"/>
      <c r="AF54" s="6">
        <f t="shared" si="1"/>
        <v>796131.66</v>
      </c>
    </row>
    <row r="55" spans="1:32" s="4" customFormat="1">
      <c r="A55" s="4">
        <v>174</v>
      </c>
      <c r="B55" s="4" t="s">
        <v>106</v>
      </c>
      <c r="D55" s="4" t="s">
        <v>66</v>
      </c>
      <c r="F55" s="1">
        <v>3792</v>
      </c>
      <c r="G55" s="1"/>
      <c r="H55" s="1">
        <v>82227</v>
      </c>
      <c r="I55" s="1"/>
      <c r="J55" s="1">
        <v>30303</v>
      </c>
      <c r="K55" s="1"/>
      <c r="L55" s="1">
        <v>22901</v>
      </c>
      <c r="M55" s="1"/>
      <c r="N55" s="1">
        <v>49966</v>
      </c>
      <c r="O55" s="1"/>
      <c r="P55" s="1">
        <v>0</v>
      </c>
      <c r="Q55" s="1"/>
      <c r="R55" s="1">
        <v>0</v>
      </c>
      <c r="S55" s="1"/>
      <c r="T55" s="1">
        <v>55825</v>
      </c>
      <c r="U55" s="1"/>
      <c r="V55" s="1">
        <v>0</v>
      </c>
      <c r="W55" s="1"/>
      <c r="X55" s="1">
        <v>0</v>
      </c>
      <c r="Y55" s="1"/>
      <c r="Z55" s="1">
        <v>0</v>
      </c>
      <c r="AA55" s="1"/>
      <c r="AB55" s="1">
        <v>0</v>
      </c>
      <c r="AC55" s="1"/>
      <c r="AD55" s="1">
        <v>0</v>
      </c>
      <c r="AF55" s="4">
        <f t="shared" si="1"/>
        <v>245014</v>
      </c>
    </row>
    <row r="56" spans="1:32" s="4" customFormat="1">
      <c r="A56" s="4">
        <v>73</v>
      </c>
      <c r="B56" s="4" t="s">
        <v>107</v>
      </c>
      <c r="D56" s="4" t="s">
        <v>108</v>
      </c>
      <c r="F56" s="1">
        <v>15363</v>
      </c>
      <c r="G56" s="1"/>
      <c r="H56" s="1">
        <v>361967</v>
      </c>
      <c r="I56" s="1"/>
      <c r="J56" s="1">
        <v>37510</v>
      </c>
      <c r="K56" s="1"/>
      <c r="L56" s="1">
        <v>101628</v>
      </c>
      <c r="M56" s="1"/>
      <c r="N56" s="1">
        <v>307521</v>
      </c>
      <c r="O56" s="1"/>
      <c r="P56" s="1">
        <v>0</v>
      </c>
      <c r="Q56" s="1"/>
      <c r="R56" s="1">
        <v>0</v>
      </c>
      <c r="S56" s="1"/>
      <c r="T56" s="1">
        <v>5126</v>
      </c>
      <c r="U56" s="1"/>
      <c r="V56" s="1">
        <v>0</v>
      </c>
      <c r="W56" s="1"/>
      <c r="X56" s="1">
        <v>0</v>
      </c>
      <c r="Y56" s="1"/>
      <c r="Z56" s="1">
        <v>0</v>
      </c>
      <c r="AA56" s="1"/>
      <c r="AB56" s="1">
        <v>0</v>
      </c>
      <c r="AC56" s="1"/>
      <c r="AD56" s="1">
        <v>0</v>
      </c>
      <c r="AF56" s="4">
        <f t="shared" si="1"/>
        <v>829115</v>
      </c>
    </row>
    <row r="57" spans="1:32" s="4" customFormat="1">
      <c r="A57" s="4">
        <v>27</v>
      </c>
      <c r="B57" s="4" t="s">
        <v>583</v>
      </c>
      <c r="D57" s="4" t="s">
        <v>46</v>
      </c>
      <c r="F57" s="6">
        <v>0</v>
      </c>
      <c r="G57" s="6"/>
      <c r="H57" s="6">
        <v>616710.75</v>
      </c>
      <c r="I57" s="6"/>
      <c r="J57" s="6">
        <v>0</v>
      </c>
      <c r="K57" s="6"/>
      <c r="L57" s="6">
        <v>0</v>
      </c>
      <c r="M57" s="6"/>
      <c r="N57" s="6">
        <v>0</v>
      </c>
      <c r="O57" s="6"/>
      <c r="P57" s="6">
        <v>0</v>
      </c>
      <c r="Q57" s="6"/>
      <c r="R57" s="6">
        <v>0</v>
      </c>
      <c r="S57" s="6"/>
      <c r="T57" s="6">
        <v>14478.32</v>
      </c>
      <c r="U57" s="6"/>
      <c r="V57" s="6">
        <v>0</v>
      </c>
      <c r="W57" s="6"/>
      <c r="X57" s="6">
        <v>0</v>
      </c>
      <c r="Y57" s="6"/>
      <c r="Z57" s="6">
        <v>0</v>
      </c>
      <c r="AA57" s="6"/>
      <c r="AB57" s="6">
        <v>0</v>
      </c>
      <c r="AC57" s="6"/>
      <c r="AD57" s="6">
        <v>6292.9</v>
      </c>
      <c r="AE57" s="6"/>
      <c r="AF57" s="6">
        <f t="shared" si="1"/>
        <v>637481.97</v>
      </c>
    </row>
    <row r="58" spans="1:32" s="4" customFormat="1">
      <c r="A58" s="4">
        <v>121</v>
      </c>
      <c r="B58" s="4" t="s">
        <v>109</v>
      </c>
      <c r="D58" s="4" t="s">
        <v>14</v>
      </c>
      <c r="F58" s="1">
        <v>16523.02</v>
      </c>
      <c r="G58" s="1"/>
      <c r="H58" s="1">
        <v>88429.07</v>
      </c>
      <c r="I58" s="1"/>
      <c r="J58" s="1">
        <v>72022.259999999995</v>
      </c>
      <c r="K58" s="1"/>
      <c r="L58" s="1">
        <v>16587.47</v>
      </c>
      <c r="M58" s="1"/>
      <c r="N58" s="1">
        <v>59770.68</v>
      </c>
      <c r="O58" s="1"/>
      <c r="P58" s="1">
        <v>0</v>
      </c>
      <c r="Q58" s="1"/>
      <c r="R58" s="1">
        <v>0</v>
      </c>
      <c r="S58" s="1"/>
      <c r="T58" s="1">
        <v>13033.43</v>
      </c>
      <c r="U58" s="1"/>
      <c r="V58" s="1">
        <v>0</v>
      </c>
      <c r="W58" s="1"/>
      <c r="X58" s="1">
        <v>0</v>
      </c>
      <c r="Y58" s="1"/>
      <c r="Z58" s="1">
        <v>0</v>
      </c>
      <c r="AA58" s="1"/>
      <c r="AB58" s="1">
        <v>0</v>
      </c>
      <c r="AC58" s="1"/>
      <c r="AD58" s="1">
        <v>0</v>
      </c>
      <c r="AF58" s="4">
        <f t="shared" si="1"/>
        <v>266365.93</v>
      </c>
    </row>
    <row r="59" spans="1:32" s="4" customFormat="1">
      <c r="A59" s="4">
        <v>28</v>
      </c>
      <c r="B59" s="4" t="s">
        <v>584</v>
      </c>
      <c r="D59" s="4" t="s">
        <v>60</v>
      </c>
      <c r="F59" s="6">
        <v>0</v>
      </c>
      <c r="G59" s="6"/>
      <c r="H59" s="6">
        <v>528617</v>
      </c>
      <c r="I59" s="6"/>
      <c r="J59" s="6">
        <v>147088.56</v>
      </c>
      <c r="K59" s="6"/>
      <c r="L59" s="6">
        <v>170388.65</v>
      </c>
      <c r="M59" s="6"/>
      <c r="N59" s="6">
        <v>41279.64</v>
      </c>
      <c r="O59" s="6"/>
      <c r="P59" s="6">
        <v>0</v>
      </c>
      <c r="Q59" s="6"/>
      <c r="R59" s="6">
        <v>0</v>
      </c>
      <c r="S59" s="6"/>
      <c r="T59" s="6">
        <v>0</v>
      </c>
      <c r="U59" s="6"/>
      <c r="V59" s="6">
        <v>0</v>
      </c>
      <c r="W59" s="6"/>
      <c r="X59" s="6">
        <v>0</v>
      </c>
      <c r="Y59" s="6"/>
      <c r="Z59" s="6">
        <v>0</v>
      </c>
      <c r="AA59" s="6"/>
      <c r="AB59" s="6">
        <v>0</v>
      </c>
      <c r="AC59" s="6"/>
      <c r="AD59" s="6">
        <v>0</v>
      </c>
      <c r="AE59" s="6"/>
      <c r="AF59" s="6">
        <f t="shared" si="1"/>
        <v>887373.85000000009</v>
      </c>
    </row>
    <row r="60" spans="1:32" s="4" customFormat="1">
      <c r="A60" s="4">
        <v>199</v>
      </c>
      <c r="B60" s="4" t="s">
        <v>110</v>
      </c>
      <c r="D60" s="4" t="s">
        <v>47</v>
      </c>
      <c r="F60" s="6">
        <v>0</v>
      </c>
      <c r="G60" s="6"/>
      <c r="H60" s="6">
        <v>2580203.79</v>
      </c>
      <c r="I60" s="6"/>
      <c r="J60" s="6">
        <v>0</v>
      </c>
      <c r="K60" s="6"/>
      <c r="L60" s="6">
        <v>0</v>
      </c>
      <c r="M60" s="6"/>
      <c r="N60" s="6">
        <v>0</v>
      </c>
      <c r="O60" s="6"/>
      <c r="P60" s="6">
        <v>0</v>
      </c>
      <c r="Q60" s="6"/>
      <c r="R60" s="6">
        <v>0</v>
      </c>
      <c r="S60" s="6"/>
      <c r="T60" s="6">
        <v>117331.84</v>
      </c>
      <c r="U60" s="6"/>
      <c r="V60" s="6">
        <v>0</v>
      </c>
      <c r="W60" s="6"/>
      <c r="X60" s="6">
        <v>0</v>
      </c>
      <c r="Y60" s="6"/>
      <c r="Z60" s="6">
        <v>81053.73</v>
      </c>
      <c r="AA60" s="6"/>
      <c r="AB60" s="6">
        <v>502246.47</v>
      </c>
      <c r="AC60" s="6"/>
      <c r="AD60" s="6">
        <v>0</v>
      </c>
      <c r="AE60" s="6"/>
      <c r="AF60" s="6">
        <f t="shared" si="1"/>
        <v>3280835.83</v>
      </c>
    </row>
    <row r="61" spans="1:32" s="4" customFormat="1" hidden="1">
      <c r="A61" s="4">
        <v>199</v>
      </c>
      <c r="B61" s="4" t="s">
        <v>613</v>
      </c>
      <c r="D61" s="4" t="s">
        <v>569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F61" s="4">
        <f t="shared" si="1"/>
        <v>0</v>
      </c>
    </row>
    <row r="62" spans="1:32" s="4" customFormat="1">
      <c r="A62" s="4">
        <v>32</v>
      </c>
      <c r="B62" s="4" t="s">
        <v>111</v>
      </c>
      <c r="D62" s="4" t="s">
        <v>112</v>
      </c>
      <c r="F62" s="1">
        <v>702967</v>
      </c>
      <c r="G62" s="1"/>
      <c r="H62" s="1">
        <f>507953+2019779+877328</f>
        <v>3405060</v>
      </c>
      <c r="I62" s="1"/>
      <c r="J62" s="1">
        <v>0</v>
      </c>
      <c r="K62" s="1"/>
      <c r="L62" s="1">
        <v>0</v>
      </c>
      <c r="M62" s="1"/>
      <c r="N62" s="1">
        <v>0</v>
      </c>
      <c r="O62" s="1"/>
      <c r="P62" s="1">
        <v>43602</v>
      </c>
      <c r="Q62" s="1"/>
      <c r="R62" s="1">
        <v>12188</v>
      </c>
      <c r="S62" s="1"/>
      <c r="T62" s="1">
        <v>312308</v>
      </c>
      <c r="U62" s="1"/>
      <c r="V62" s="1">
        <v>0</v>
      </c>
      <c r="W62" s="1"/>
      <c r="X62" s="1">
        <v>0</v>
      </c>
      <c r="Y62" s="1"/>
      <c r="Z62" s="1">
        <v>0</v>
      </c>
      <c r="AA62" s="1"/>
      <c r="AB62" s="1">
        <v>0</v>
      </c>
      <c r="AC62" s="1"/>
      <c r="AD62" s="1">
        <v>0</v>
      </c>
      <c r="AF62" s="4">
        <f t="shared" si="1"/>
        <v>4476125</v>
      </c>
    </row>
    <row r="63" spans="1:32" s="4" customFormat="1">
      <c r="A63" s="4">
        <v>231</v>
      </c>
      <c r="B63" s="4" t="s">
        <v>299</v>
      </c>
      <c r="D63" s="4" t="s">
        <v>24</v>
      </c>
      <c r="F63" s="6">
        <v>0</v>
      </c>
      <c r="G63" s="6"/>
      <c r="H63" s="6">
        <v>294911.07</v>
      </c>
      <c r="I63" s="6"/>
      <c r="J63" s="6">
        <v>0</v>
      </c>
      <c r="K63" s="6"/>
      <c r="L63" s="6">
        <v>0</v>
      </c>
      <c r="M63" s="6"/>
      <c r="N63" s="6">
        <v>0</v>
      </c>
      <c r="O63" s="6"/>
      <c r="P63" s="6">
        <v>0</v>
      </c>
      <c r="Q63" s="6"/>
      <c r="R63" s="6">
        <v>0</v>
      </c>
      <c r="S63" s="6"/>
      <c r="T63" s="6">
        <v>1865.7</v>
      </c>
      <c r="U63" s="6"/>
      <c r="V63" s="6">
        <v>0</v>
      </c>
      <c r="W63" s="6"/>
      <c r="X63" s="6">
        <v>0</v>
      </c>
      <c r="Y63" s="6"/>
      <c r="Z63" s="6">
        <v>0</v>
      </c>
      <c r="AA63" s="6"/>
      <c r="AB63" s="6">
        <v>0</v>
      </c>
      <c r="AC63" s="6"/>
      <c r="AD63" s="6">
        <v>0</v>
      </c>
      <c r="AE63" s="6"/>
      <c r="AF63" s="6">
        <f t="shared" si="1"/>
        <v>296776.77</v>
      </c>
    </row>
    <row r="64" spans="1:32" s="4" customFormat="1">
      <c r="A64" s="4">
        <v>34</v>
      </c>
      <c r="B64" s="4" t="s">
        <v>113</v>
      </c>
      <c r="D64" s="4" t="s">
        <v>114</v>
      </c>
      <c r="F64" s="1">
        <v>433006</v>
      </c>
      <c r="G64" s="1"/>
      <c r="H64" s="1">
        <v>3243787</v>
      </c>
      <c r="I64" s="1"/>
      <c r="J64" s="1">
        <v>1442436</v>
      </c>
      <c r="K64" s="1"/>
      <c r="L64" s="1">
        <v>971029</v>
      </c>
      <c r="M64" s="1"/>
      <c r="N64" s="1">
        <v>921066</v>
      </c>
      <c r="O64" s="1"/>
      <c r="P64" s="1">
        <v>0</v>
      </c>
      <c r="Q64" s="1"/>
      <c r="R64" s="1">
        <v>4346</v>
      </c>
      <c r="S64" s="1"/>
      <c r="T64" s="1">
        <v>3224656</v>
      </c>
      <c r="U64" s="1"/>
      <c r="V64" s="1">
        <v>2224583</v>
      </c>
      <c r="W64" s="1"/>
      <c r="X64" s="1">
        <v>249414</v>
      </c>
      <c r="Y64" s="1"/>
      <c r="Z64" s="1">
        <v>1601900</v>
      </c>
      <c r="AA64" s="1"/>
      <c r="AB64" s="1">
        <v>1007000</v>
      </c>
      <c r="AC64" s="1"/>
      <c r="AD64" s="1">
        <v>399881</v>
      </c>
      <c r="AF64" s="4">
        <f t="shared" si="1"/>
        <v>15723104</v>
      </c>
    </row>
    <row r="65" spans="1:32" s="4" customFormat="1">
      <c r="A65" s="4">
        <v>49</v>
      </c>
      <c r="B65" s="4" t="s">
        <v>421</v>
      </c>
      <c r="D65" s="4" t="s">
        <v>17</v>
      </c>
      <c r="F65" s="1">
        <v>5548123</v>
      </c>
      <c r="G65" s="1"/>
      <c r="H65" s="1">
        <v>0</v>
      </c>
      <c r="I65" s="1"/>
      <c r="J65" s="1">
        <v>0</v>
      </c>
      <c r="K65" s="1"/>
      <c r="L65" s="1">
        <v>0</v>
      </c>
      <c r="M65" s="1"/>
      <c r="N65" s="1">
        <v>1534769</v>
      </c>
      <c r="O65" s="1"/>
      <c r="P65" s="1">
        <v>0</v>
      </c>
      <c r="Q65" s="1"/>
      <c r="R65" s="1">
        <v>0</v>
      </c>
      <c r="S65" s="1"/>
      <c r="T65" s="1">
        <v>1233446</v>
      </c>
      <c r="U65" s="1"/>
      <c r="V65" s="1">
        <v>82173</v>
      </c>
      <c r="W65" s="1"/>
      <c r="X65" s="1">
        <v>18729</v>
      </c>
      <c r="Y65" s="1"/>
      <c r="Z65" s="1">
        <v>563015</v>
      </c>
      <c r="AA65" s="1"/>
      <c r="AB65" s="1">
        <v>0</v>
      </c>
      <c r="AC65" s="1"/>
      <c r="AD65" s="1">
        <v>0</v>
      </c>
      <c r="AF65" s="4">
        <f t="shared" si="1"/>
        <v>8980255</v>
      </c>
    </row>
    <row r="66" spans="1:32" s="4" customFormat="1">
      <c r="A66" s="4">
        <v>50</v>
      </c>
      <c r="B66" s="4" t="s">
        <v>422</v>
      </c>
      <c r="D66" s="4" t="s">
        <v>17</v>
      </c>
      <c r="F66" s="1">
        <v>36108993</v>
      </c>
      <c r="G66" s="1"/>
      <c r="H66" s="1">
        <v>0</v>
      </c>
      <c r="I66" s="1"/>
      <c r="J66" s="1">
        <v>0</v>
      </c>
      <c r="K66" s="1"/>
      <c r="L66" s="1">
        <v>0</v>
      </c>
      <c r="M66" s="1"/>
      <c r="N66" s="1">
        <v>21610354</v>
      </c>
      <c r="O66" s="1"/>
      <c r="P66" s="1">
        <v>0</v>
      </c>
      <c r="Q66" s="1"/>
      <c r="R66" s="1">
        <v>0</v>
      </c>
      <c r="S66" s="1"/>
      <c r="T66" s="1">
        <v>1181974</v>
      </c>
      <c r="U66" s="1"/>
      <c r="V66" s="1">
        <v>0</v>
      </c>
      <c r="W66" s="1"/>
      <c r="X66" s="1">
        <v>0</v>
      </c>
      <c r="Y66" s="1"/>
      <c r="Z66" s="1">
        <v>5000000</v>
      </c>
      <c r="AA66" s="1"/>
      <c r="AB66" s="1">
        <v>0</v>
      </c>
      <c r="AC66" s="1"/>
      <c r="AD66" s="1">
        <v>0</v>
      </c>
      <c r="AF66" s="4">
        <f t="shared" si="1"/>
        <v>63901321</v>
      </c>
    </row>
    <row r="67" spans="1:32" s="4" customFormat="1">
      <c r="A67" s="4">
        <v>201</v>
      </c>
      <c r="B67" s="4" t="s">
        <v>446</v>
      </c>
      <c r="D67" s="4" t="s">
        <v>92</v>
      </c>
      <c r="F67" s="6">
        <v>0</v>
      </c>
      <c r="G67" s="6"/>
      <c r="H67" s="6">
        <v>518853.04</v>
      </c>
      <c r="I67" s="6"/>
      <c r="J67" s="6">
        <v>0</v>
      </c>
      <c r="K67" s="6"/>
      <c r="L67" s="6">
        <v>0</v>
      </c>
      <c r="M67" s="6"/>
      <c r="N67" s="6">
        <v>0</v>
      </c>
      <c r="O67" s="6"/>
      <c r="P67" s="6">
        <v>0</v>
      </c>
      <c r="Q67" s="6"/>
      <c r="R67" s="6">
        <v>0</v>
      </c>
      <c r="S67" s="6"/>
      <c r="T67" s="6">
        <v>0</v>
      </c>
      <c r="U67" s="6"/>
      <c r="V67" s="6">
        <v>62274.91</v>
      </c>
      <c r="W67" s="6"/>
      <c r="X67" s="6">
        <v>13314.75</v>
      </c>
      <c r="Y67" s="6"/>
      <c r="Z67" s="6">
        <v>75589.66</v>
      </c>
      <c r="AA67" s="6"/>
      <c r="AB67" s="6">
        <v>0</v>
      </c>
      <c r="AC67" s="6"/>
      <c r="AD67" s="6">
        <v>0</v>
      </c>
      <c r="AE67" s="6"/>
      <c r="AF67" s="6">
        <f t="shared" si="1"/>
        <v>670032.36</v>
      </c>
    </row>
    <row r="68" spans="1:32" s="4" customFormat="1">
      <c r="A68" s="4">
        <v>158</v>
      </c>
      <c r="B68" s="4" t="s">
        <v>485</v>
      </c>
      <c r="D68" s="4" t="s">
        <v>48</v>
      </c>
      <c r="F68" s="6">
        <v>0</v>
      </c>
      <c r="G68" s="6"/>
      <c r="H68" s="6">
        <v>194670.44</v>
      </c>
      <c r="I68" s="6"/>
      <c r="J68" s="6">
        <v>0</v>
      </c>
      <c r="K68" s="6"/>
      <c r="L68" s="6">
        <v>0</v>
      </c>
      <c r="M68" s="6"/>
      <c r="N68" s="6">
        <v>0</v>
      </c>
      <c r="O68" s="6"/>
      <c r="P68" s="6">
        <v>0</v>
      </c>
      <c r="Q68" s="6"/>
      <c r="R68" s="6">
        <v>0</v>
      </c>
      <c r="S68" s="6"/>
      <c r="T68" s="6">
        <v>1649.46</v>
      </c>
      <c r="U68" s="6"/>
      <c r="V68" s="6">
        <v>0</v>
      </c>
      <c r="W68" s="6"/>
      <c r="X68" s="6">
        <v>0</v>
      </c>
      <c r="Y68" s="6"/>
      <c r="Z68" s="6">
        <v>0</v>
      </c>
      <c r="AA68" s="6"/>
      <c r="AB68" s="6">
        <v>0</v>
      </c>
      <c r="AC68" s="6"/>
      <c r="AD68" s="6">
        <v>0</v>
      </c>
      <c r="AE68" s="6"/>
      <c r="AF68" s="6">
        <f t="shared" si="1"/>
        <v>196319.9</v>
      </c>
    </row>
    <row r="69" spans="1:32" s="4" customFormat="1">
      <c r="A69" s="4">
        <v>38</v>
      </c>
      <c r="B69" s="4" t="s">
        <v>447</v>
      </c>
      <c r="D69" s="4" t="s">
        <v>49</v>
      </c>
      <c r="F69" s="6">
        <v>0</v>
      </c>
      <c r="G69" s="6"/>
      <c r="H69" s="6">
        <v>677472.7</v>
      </c>
      <c r="I69" s="6"/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0</v>
      </c>
      <c r="S69" s="6"/>
      <c r="T69" s="6">
        <v>82194.06</v>
      </c>
      <c r="U69" s="6"/>
      <c r="V69" s="6">
        <v>0</v>
      </c>
      <c r="W69" s="6"/>
      <c r="X69" s="6">
        <v>0</v>
      </c>
      <c r="Y69" s="6"/>
      <c r="Z69" s="6">
        <v>0</v>
      </c>
      <c r="AA69" s="6"/>
      <c r="AB69" s="6">
        <v>0</v>
      </c>
      <c r="AC69" s="6"/>
      <c r="AD69" s="6">
        <v>0</v>
      </c>
      <c r="AE69" s="6"/>
      <c r="AF69" s="6">
        <f t="shared" si="1"/>
        <v>759666.76</v>
      </c>
    </row>
    <row r="70" spans="1:32" s="4" customFormat="1">
      <c r="A70" s="4">
        <v>76</v>
      </c>
      <c r="B70" s="4" t="s">
        <v>116</v>
      </c>
      <c r="D70" s="4" t="s">
        <v>90</v>
      </c>
      <c r="F70" s="1">
        <v>5672632</v>
      </c>
      <c r="G70" s="1"/>
      <c r="H70" s="1">
        <v>24637437</v>
      </c>
      <c r="I70" s="1"/>
      <c r="J70" s="1">
        <v>9171047</v>
      </c>
      <c r="K70" s="1"/>
      <c r="L70" s="1">
        <v>7451268</v>
      </c>
      <c r="M70" s="1"/>
      <c r="N70" s="1">
        <v>8546799</v>
      </c>
      <c r="O70" s="1"/>
      <c r="P70" s="1">
        <v>0</v>
      </c>
      <c r="Q70" s="1"/>
      <c r="R70" s="1">
        <v>0</v>
      </c>
      <c r="S70" s="1"/>
      <c r="T70" s="1">
        <v>85956</v>
      </c>
      <c r="U70" s="1"/>
      <c r="V70" s="1">
        <v>0</v>
      </c>
      <c r="W70" s="1"/>
      <c r="X70" s="1">
        <v>0</v>
      </c>
      <c r="Y70" s="1"/>
      <c r="Z70" s="1">
        <v>25961063</v>
      </c>
      <c r="AA70" s="1"/>
      <c r="AB70" s="1">
        <v>44200</v>
      </c>
      <c r="AC70" s="1"/>
      <c r="AD70" s="1">
        <v>0</v>
      </c>
      <c r="AF70" s="4">
        <f t="shared" si="1"/>
        <v>81570402</v>
      </c>
    </row>
    <row r="71" spans="1:32" s="4" customFormat="1">
      <c r="A71" s="4">
        <v>63</v>
      </c>
      <c r="B71" s="4" t="s">
        <v>448</v>
      </c>
      <c r="D71" s="4" t="s">
        <v>68</v>
      </c>
      <c r="F71" s="6">
        <v>0</v>
      </c>
      <c r="G71" s="6"/>
      <c r="H71" s="6">
        <v>834618.49</v>
      </c>
      <c r="I71" s="6"/>
      <c r="J71" s="6">
        <v>0</v>
      </c>
      <c r="K71" s="6"/>
      <c r="L71" s="6">
        <v>0</v>
      </c>
      <c r="M71" s="6"/>
      <c r="N71" s="6">
        <v>0</v>
      </c>
      <c r="O71" s="6"/>
      <c r="P71" s="6">
        <v>0</v>
      </c>
      <c r="Q71" s="6"/>
      <c r="R71" s="6">
        <v>0</v>
      </c>
      <c r="S71" s="6"/>
      <c r="T71" s="6">
        <v>60914.81</v>
      </c>
      <c r="U71" s="6"/>
      <c r="V71" s="6">
        <v>0</v>
      </c>
      <c r="W71" s="6"/>
      <c r="X71" s="6">
        <v>0</v>
      </c>
      <c r="Y71" s="6"/>
      <c r="Z71" s="6">
        <v>59934.1</v>
      </c>
      <c r="AA71" s="6"/>
      <c r="AB71" s="6">
        <v>0</v>
      </c>
      <c r="AC71" s="6"/>
      <c r="AD71" s="6">
        <v>0</v>
      </c>
      <c r="AE71" s="6"/>
      <c r="AF71" s="6">
        <f t="shared" si="1"/>
        <v>955467.4</v>
      </c>
    </row>
    <row r="72" spans="1:32" s="4" customFormat="1">
      <c r="A72" s="4">
        <v>10</v>
      </c>
      <c r="B72" s="4" t="s">
        <v>117</v>
      </c>
      <c r="D72" s="4" t="s">
        <v>41</v>
      </c>
      <c r="F72" s="1">
        <v>3910</v>
      </c>
      <c r="G72" s="1"/>
      <c r="H72" s="1">
        <v>381585</v>
      </c>
      <c r="I72" s="1"/>
      <c r="J72" s="1">
        <v>32717</v>
      </c>
      <c r="K72" s="1"/>
      <c r="L72" s="1">
        <v>48971</v>
      </c>
      <c r="M72" s="1"/>
      <c r="N72" s="1">
        <v>12077</v>
      </c>
      <c r="O72" s="1"/>
      <c r="P72" s="1">
        <v>0</v>
      </c>
      <c r="Q72" s="1"/>
      <c r="R72" s="1">
        <v>0</v>
      </c>
      <c r="S72" s="1"/>
      <c r="T72" s="1">
        <v>15581</v>
      </c>
      <c r="U72" s="1"/>
      <c r="V72" s="1">
        <v>0</v>
      </c>
      <c r="W72" s="1"/>
      <c r="X72" s="1">
        <v>0</v>
      </c>
      <c r="Y72" s="1"/>
      <c r="Z72" s="1">
        <v>0</v>
      </c>
      <c r="AA72" s="1"/>
      <c r="AB72" s="1">
        <v>0</v>
      </c>
      <c r="AC72" s="1"/>
      <c r="AD72" s="1">
        <v>0</v>
      </c>
      <c r="AF72" s="4">
        <f t="shared" ref="AF72:AF85" si="2">SUM(F72:AD72)</f>
        <v>494841</v>
      </c>
    </row>
    <row r="73" spans="1:32" s="4" customFormat="1">
      <c r="A73" s="4">
        <v>45</v>
      </c>
      <c r="B73" s="4" t="s">
        <v>118</v>
      </c>
      <c r="D73" s="4" t="s">
        <v>119</v>
      </c>
      <c r="F73" s="4">
        <v>0</v>
      </c>
      <c r="G73" s="1"/>
      <c r="H73" s="1">
        <f>1050459+145823+1024</f>
        <v>1197306</v>
      </c>
      <c r="I73" s="1"/>
      <c r="J73" s="1">
        <v>0</v>
      </c>
      <c r="K73" s="1"/>
      <c r="L73" s="1">
        <v>0</v>
      </c>
      <c r="M73" s="1"/>
      <c r="N73" s="1">
        <v>0</v>
      </c>
      <c r="O73" s="1"/>
      <c r="P73" s="1">
        <v>0</v>
      </c>
      <c r="Q73" s="1"/>
      <c r="R73" s="1">
        <v>0</v>
      </c>
      <c r="S73" s="1"/>
      <c r="T73" s="1">
        <v>128909</v>
      </c>
      <c r="U73" s="1"/>
      <c r="V73" s="1">
        <v>0</v>
      </c>
      <c r="W73" s="1"/>
      <c r="X73" s="1">
        <v>0</v>
      </c>
      <c r="Y73" s="1"/>
      <c r="Z73" s="1">
        <v>78133</v>
      </c>
      <c r="AA73" s="1"/>
      <c r="AB73" s="1">
        <v>18006</v>
      </c>
      <c r="AC73" s="1"/>
      <c r="AD73" s="1">
        <v>0</v>
      </c>
      <c r="AF73" s="4">
        <f t="shared" si="2"/>
        <v>1422354</v>
      </c>
    </row>
    <row r="74" spans="1:32" s="4" customFormat="1">
      <c r="A74" s="4">
        <v>47</v>
      </c>
      <c r="B74" s="4" t="s">
        <v>120</v>
      </c>
      <c r="D74" s="4" t="s">
        <v>50</v>
      </c>
      <c r="F74" s="6">
        <v>0</v>
      </c>
      <c r="G74" s="6"/>
      <c r="H74" s="6">
        <v>0</v>
      </c>
      <c r="I74" s="6"/>
      <c r="J74" s="6">
        <v>0</v>
      </c>
      <c r="K74" s="6"/>
      <c r="L74" s="6">
        <v>0</v>
      </c>
      <c r="M74" s="6"/>
      <c r="N74" s="6">
        <v>0</v>
      </c>
      <c r="O74" s="6"/>
      <c r="P74" s="6">
        <v>0</v>
      </c>
      <c r="Q74" s="6"/>
      <c r="R74" s="6">
        <v>0</v>
      </c>
      <c r="S74" s="6"/>
      <c r="T74" s="6">
        <v>10449</v>
      </c>
      <c r="U74" s="6"/>
      <c r="V74" s="6">
        <v>0</v>
      </c>
      <c r="W74" s="6"/>
      <c r="X74" s="6">
        <v>0</v>
      </c>
      <c r="Y74" s="6"/>
      <c r="Z74" s="6">
        <v>0</v>
      </c>
      <c r="AA74" s="6"/>
      <c r="AB74" s="6">
        <v>0</v>
      </c>
      <c r="AC74" s="6"/>
      <c r="AD74" s="6">
        <v>0</v>
      </c>
      <c r="AE74" s="6"/>
      <c r="AF74" s="6">
        <f t="shared" si="2"/>
        <v>10449</v>
      </c>
    </row>
    <row r="75" spans="1:32" s="4" customFormat="1">
      <c r="A75" s="4">
        <v>51</v>
      </c>
      <c r="B75" s="4" t="s">
        <v>585</v>
      </c>
      <c r="D75" s="4" t="s">
        <v>17</v>
      </c>
      <c r="F75" s="1">
        <v>0</v>
      </c>
      <c r="G75" s="1"/>
      <c r="H75" s="1">
        <v>38283632</v>
      </c>
      <c r="I75" s="1"/>
      <c r="J75" s="1">
        <v>2961288</v>
      </c>
      <c r="K75" s="1"/>
      <c r="L75" s="1">
        <v>5348036</v>
      </c>
      <c r="M75" s="1"/>
      <c r="N75" s="1">
        <v>12672585</v>
      </c>
      <c r="O75" s="1"/>
      <c r="P75" s="1">
        <v>0</v>
      </c>
      <c r="Q75" s="1"/>
      <c r="R75" s="1">
        <v>0</v>
      </c>
      <c r="S75" s="1"/>
      <c r="T75" s="1">
        <v>12152153</v>
      </c>
      <c r="U75" s="1"/>
      <c r="V75" s="1">
        <v>1995000</v>
      </c>
      <c r="W75" s="1"/>
      <c r="X75" s="1">
        <v>3846196</v>
      </c>
      <c r="Y75" s="1"/>
      <c r="Z75" s="1">
        <v>12092755</v>
      </c>
      <c r="AA75" s="1"/>
      <c r="AB75" s="1">
        <v>0</v>
      </c>
      <c r="AC75" s="1"/>
      <c r="AD75" s="1">
        <v>0</v>
      </c>
      <c r="AF75" s="4">
        <f t="shared" si="2"/>
        <v>89351645</v>
      </c>
    </row>
    <row r="76" spans="1:32" s="4" customFormat="1">
      <c r="B76" s="4" t="s">
        <v>606</v>
      </c>
      <c r="D76" s="4" t="s">
        <v>20</v>
      </c>
      <c r="F76" s="1">
        <v>386324</v>
      </c>
      <c r="G76" s="1"/>
      <c r="H76" s="1">
        <f>414501+1417960</f>
        <v>1832461</v>
      </c>
      <c r="I76" s="1"/>
      <c r="J76" s="1">
        <v>0</v>
      </c>
      <c r="K76" s="1"/>
      <c r="L76" s="1">
        <v>0</v>
      </c>
      <c r="M76" s="1"/>
      <c r="N76" s="1">
        <v>0</v>
      </c>
      <c r="O76" s="1"/>
      <c r="P76" s="1">
        <v>46223</v>
      </c>
      <c r="Q76" s="1"/>
      <c r="R76" s="1">
        <v>9468</v>
      </c>
      <c r="S76" s="1"/>
      <c r="T76" s="1">
        <v>403161</v>
      </c>
      <c r="U76" s="1"/>
      <c r="V76" s="1">
        <v>0</v>
      </c>
      <c r="W76" s="1"/>
      <c r="X76" s="1">
        <v>0</v>
      </c>
      <c r="Y76" s="1"/>
      <c r="Z76" s="1">
        <v>0</v>
      </c>
      <c r="AA76" s="1"/>
      <c r="AB76" s="1">
        <v>0</v>
      </c>
      <c r="AC76" s="1"/>
      <c r="AD76" s="1">
        <v>0</v>
      </c>
      <c r="AF76" s="4">
        <f t="shared" si="2"/>
        <v>2677637</v>
      </c>
    </row>
    <row r="77" spans="1:32" s="4" customFormat="1">
      <c r="A77" s="4">
        <v>169</v>
      </c>
      <c r="B77" s="4" t="s">
        <v>122</v>
      </c>
      <c r="D77" s="4" t="s">
        <v>53</v>
      </c>
      <c r="F77" s="1">
        <v>942984</v>
      </c>
      <c r="G77" s="1"/>
      <c r="H77" s="1">
        <v>15458871</v>
      </c>
      <c r="I77" s="1"/>
      <c r="J77" s="1">
        <v>5229533</v>
      </c>
      <c r="K77" s="1"/>
      <c r="L77" s="1">
        <v>537157</v>
      </c>
      <c r="M77" s="1"/>
      <c r="N77" s="1">
        <v>2900677</v>
      </c>
      <c r="O77" s="1"/>
      <c r="P77" s="1">
        <v>0</v>
      </c>
      <c r="Q77" s="1"/>
      <c r="R77" s="1">
        <v>0</v>
      </c>
      <c r="S77" s="1"/>
      <c r="T77" s="1">
        <v>591665</v>
      </c>
      <c r="U77" s="1"/>
      <c r="V77" s="1">
        <v>0</v>
      </c>
      <c r="W77" s="1"/>
      <c r="X77" s="1">
        <v>0</v>
      </c>
      <c r="Y77" s="1"/>
      <c r="Z77" s="1">
        <v>3023795</v>
      </c>
      <c r="AA77" s="1"/>
      <c r="AB77" s="1">
        <v>0</v>
      </c>
      <c r="AC77" s="1"/>
      <c r="AD77" s="1">
        <v>0</v>
      </c>
      <c r="AF77" s="4">
        <f t="shared" si="2"/>
        <v>28684682</v>
      </c>
    </row>
    <row r="78" spans="1:32" s="4" customFormat="1">
      <c r="A78" s="4">
        <v>62</v>
      </c>
      <c r="B78" s="4" t="s">
        <v>123</v>
      </c>
      <c r="D78" s="4" t="s">
        <v>124</v>
      </c>
      <c r="F78" s="1">
        <v>0</v>
      </c>
      <c r="G78" s="1"/>
      <c r="H78" s="1">
        <v>1485374</v>
      </c>
      <c r="I78" s="1"/>
      <c r="J78" s="1">
        <v>0</v>
      </c>
      <c r="K78" s="1"/>
      <c r="L78" s="1">
        <v>113633</v>
      </c>
      <c r="M78" s="1"/>
      <c r="N78" s="1">
        <v>0</v>
      </c>
      <c r="O78" s="1"/>
      <c r="P78" s="1">
        <v>0</v>
      </c>
      <c r="Q78" s="1"/>
      <c r="R78" s="1">
        <v>0</v>
      </c>
      <c r="S78" s="1"/>
      <c r="T78" s="1">
        <v>808075</v>
      </c>
      <c r="U78" s="1"/>
      <c r="V78" s="1">
        <v>0</v>
      </c>
      <c r="W78" s="1"/>
      <c r="X78" s="1">
        <v>0</v>
      </c>
      <c r="Y78" s="1"/>
      <c r="Z78" s="1">
        <v>601634</v>
      </c>
      <c r="AA78" s="1"/>
      <c r="AB78" s="1">
        <v>269940</v>
      </c>
      <c r="AC78" s="1"/>
      <c r="AD78" s="1">
        <v>0</v>
      </c>
      <c r="AF78" s="4">
        <f t="shared" si="2"/>
        <v>3278656</v>
      </c>
    </row>
    <row r="79" spans="1:32" s="4" customFormat="1">
      <c r="A79" s="4">
        <v>64</v>
      </c>
      <c r="B79" s="4" t="s">
        <v>125</v>
      </c>
      <c r="D79" s="4" t="s">
        <v>68</v>
      </c>
      <c r="F79" s="1">
        <v>0</v>
      </c>
      <c r="G79" s="1"/>
      <c r="H79" s="1">
        <v>4796759</v>
      </c>
      <c r="I79" s="1"/>
      <c r="J79" s="1">
        <v>0</v>
      </c>
      <c r="K79" s="1"/>
      <c r="L79" s="1">
        <v>0</v>
      </c>
      <c r="M79" s="1"/>
      <c r="N79" s="1">
        <v>0</v>
      </c>
      <c r="O79" s="1"/>
      <c r="P79" s="1">
        <v>0</v>
      </c>
      <c r="Q79" s="1"/>
      <c r="R79" s="1">
        <v>0</v>
      </c>
      <c r="S79" s="1"/>
      <c r="T79" s="1">
        <v>2748403</v>
      </c>
      <c r="U79" s="1"/>
      <c r="V79" s="1">
        <v>0</v>
      </c>
      <c r="W79" s="1"/>
      <c r="X79" s="1">
        <v>0</v>
      </c>
      <c r="Y79" s="1"/>
      <c r="Z79" s="1">
        <v>24358</v>
      </c>
      <c r="AA79" s="1"/>
      <c r="AB79" s="1">
        <v>0</v>
      </c>
      <c r="AC79" s="1"/>
      <c r="AD79" s="1">
        <v>0</v>
      </c>
      <c r="AF79" s="4">
        <f t="shared" si="2"/>
        <v>7569520</v>
      </c>
    </row>
    <row r="80" spans="1:32" s="4" customFormat="1">
      <c r="A80" s="4">
        <v>4</v>
      </c>
      <c r="B80" s="4" t="s">
        <v>126</v>
      </c>
      <c r="D80" s="4" t="s">
        <v>95</v>
      </c>
      <c r="F80" s="15">
        <v>0</v>
      </c>
      <c r="G80" s="15"/>
      <c r="H80" s="15">
        <v>0</v>
      </c>
      <c r="I80" s="15"/>
      <c r="J80" s="15">
        <v>0</v>
      </c>
      <c r="K80" s="15"/>
      <c r="L80" s="15">
        <v>0</v>
      </c>
      <c r="M80" s="15"/>
      <c r="N80" s="15">
        <v>0</v>
      </c>
      <c r="O80" s="15"/>
      <c r="P80" s="15">
        <v>0</v>
      </c>
      <c r="Q80" s="15"/>
      <c r="R80" s="15">
        <v>0</v>
      </c>
      <c r="S80" s="15"/>
      <c r="T80" s="15">
        <v>0</v>
      </c>
      <c r="U80" s="15"/>
      <c r="V80" s="15">
        <v>0</v>
      </c>
      <c r="W80" s="15"/>
      <c r="X80" s="15">
        <v>0</v>
      </c>
      <c r="Y80" s="15"/>
      <c r="Z80" s="15">
        <v>0</v>
      </c>
      <c r="AA80" s="15"/>
      <c r="AB80" s="15">
        <v>0</v>
      </c>
      <c r="AC80" s="15"/>
      <c r="AD80" s="15">
        <v>0</v>
      </c>
      <c r="AE80" s="15"/>
      <c r="AF80" s="15">
        <f t="shared" si="2"/>
        <v>0</v>
      </c>
    </row>
    <row r="81" spans="1:32" s="4" customFormat="1">
      <c r="A81" s="4">
        <v>83</v>
      </c>
      <c r="B81" s="4" t="s">
        <v>127</v>
      </c>
      <c r="D81" s="4" t="s">
        <v>40</v>
      </c>
      <c r="F81" s="6">
        <v>0</v>
      </c>
      <c r="G81" s="6"/>
      <c r="H81" s="6">
        <v>388415.76</v>
      </c>
      <c r="I81" s="6"/>
      <c r="J81" s="6">
        <v>0</v>
      </c>
      <c r="K81" s="6"/>
      <c r="L81" s="6">
        <v>0</v>
      </c>
      <c r="M81" s="6"/>
      <c r="N81" s="6">
        <v>0</v>
      </c>
      <c r="O81" s="6"/>
      <c r="P81" s="6">
        <v>0</v>
      </c>
      <c r="Q81" s="6"/>
      <c r="R81" s="6">
        <v>0</v>
      </c>
      <c r="S81" s="6"/>
      <c r="T81" s="6">
        <v>11123.11</v>
      </c>
      <c r="U81" s="6"/>
      <c r="V81" s="6">
        <v>0</v>
      </c>
      <c r="W81" s="6"/>
      <c r="X81" s="6">
        <v>0</v>
      </c>
      <c r="Y81" s="6"/>
      <c r="Z81" s="6">
        <v>30222.6</v>
      </c>
      <c r="AA81" s="6"/>
      <c r="AB81" s="6">
        <v>0</v>
      </c>
      <c r="AC81" s="6"/>
      <c r="AD81" s="6">
        <v>0</v>
      </c>
      <c r="AE81" s="6"/>
      <c r="AF81" s="6">
        <f t="shared" si="2"/>
        <v>429761.47</v>
      </c>
    </row>
    <row r="82" spans="1:32" s="4" customFormat="1">
      <c r="A82" s="4">
        <v>258</v>
      </c>
      <c r="B82" s="4" t="s">
        <v>128</v>
      </c>
      <c r="D82" s="15" t="s">
        <v>61</v>
      </c>
      <c r="F82" s="1">
        <v>14045</v>
      </c>
      <c r="G82" s="1"/>
      <c r="H82" s="1">
        <v>115992</v>
      </c>
      <c r="I82" s="1"/>
      <c r="J82" s="1">
        <v>36571</v>
      </c>
      <c r="K82" s="1"/>
      <c r="L82" s="1">
        <v>31961</v>
      </c>
      <c r="M82" s="1"/>
      <c r="N82" s="1">
        <v>113737</v>
      </c>
      <c r="O82" s="1"/>
      <c r="P82" s="1">
        <v>0</v>
      </c>
      <c r="Q82" s="1"/>
      <c r="R82" s="1">
        <v>0</v>
      </c>
      <c r="S82" s="1"/>
      <c r="T82" s="1">
        <v>21258</v>
      </c>
      <c r="U82" s="1"/>
      <c r="V82" s="1">
        <v>0</v>
      </c>
      <c r="W82" s="1"/>
      <c r="X82" s="1">
        <v>0</v>
      </c>
      <c r="Y82" s="1"/>
      <c r="Z82" s="1">
        <v>50000</v>
      </c>
      <c r="AA82" s="1"/>
      <c r="AB82" s="1">
        <v>0</v>
      </c>
      <c r="AC82" s="1"/>
      <c r="AD82" s="1">
        <v>0</v>
      </c>
      <c r="AF82" s="4">
        <f t="shared" si="2"/>
        <v>383564</v>
      </c>
    </row>
    <row r="83" spans="1:32" s="4" customFormat="1">
      <c r="A83" s="4">
        <v>232</v>
      </c>
      <c r="B83" s="4" t="s">
        <v>129</v>
      </c>
      <c r="D83" s="4" t="s">
        <v>24</v>
      </c>
      <c r="F83" s="1">
        <v>0</v>
      </c>
      <c r="G83" s="1"/>
      <c r="H83" s="1">
        <v>725282</v>
      </c>
      <c r="I83" s="1"/>
      <c r="J83" s="1">
        <v>0</v>
      </c>
      <c r="K83" s="1"/>
      <c r="L83" s="1">
        <v>0</v>
      </c>
      <c r="M83" s="1"/>
      <c r="N83" s="1">
        <v>0</v>
      </c>
      <c r="O83" s="1"/>
      <c r="P83" s="1">
        <v>0</v>
      </c>
      <c r="Q83" s="1"/>
      <c r="R83" s="1">
        <v>0</v>
      </c>
      <c r="S83" s="1"/>
      <c r="T83" s="1">
        <v>0</v>
      </c>
      <c r="U83" s="1"/>
      <c r="V83" s="1">
        <v>0</v>
      </c>
      <c r="W83" s="1"/>
      <c r="X83" s="1">
        <v>0</v>
      </c>
      <c r="Y83" s="1"/>
      <c r="Z83" s="1">
        <v>0</v>
      </c>
      <c r="AA83" s="1"/>
      <c r="AB83" s="1">
        <v>0</v>
      </c>
      <c r="AC83" s="1"/>
      <c r="AD83" s="1">
        <v>0</v>
      </c>
      <c r="AF83" s="4">
        <f t="shared" si="2"/>
        <v>725282</v>
      </c>
    </row>
    <row r="84" spans="1:32" s="4" customFormat="1">
      <c r="A84" s="4">
        <v>88</v>
      </c>
      <c r="B84" s="4" t="s">
        <v>332</v>
      </c>
      <c r="D84" s="4" t="s">
        <v>130</v>
      </c>
      <c r="F84" s="6">
        <v>0</v>
      </c>
      <c r="G84" s="6"/>
      <c r="H84" s="6">
        <v>1019656.97</v>
      </c>
      <c r="I84" s="6"/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0</v>
      </c>
      <c r="S84" s="6"/>
      <c r="T84" s="6">
        <v>86504.66</v>
      </c>
      <c r="U84" s="6"/>
      <c r="V84" s="6">
        <v>0</v>
      </c>
      <c r="W84" s="6"/>
      <c r="X84" s="6">
        <v>0</v>
      </c>
      <c r="Y84" s="6"/>
      <c r="Z84" s="6">
        <v>750000</v>
      </c>
      <c r="AA84" s="6"/>
      <c r="AB84" s="6">
        <v>0</v>
      </c>
      <c r="AC84" s="6"/>
      <c r="AD84" s="6">
        <v>0</v>
      </c>
      <c r="AE84" s="6"/>
      <c r="AF84" s="6">
        <f t="shared" si="2"/>
        <v>1856161.63</v>
      </c>
    </row>
    <row r="85" spans="1:32" s="4" customFormat="1">
      <c r="A85" s="4">
        <v>138</v>
      </c>
      <c r="B85" s="4" t="s">
        <v>131</v>
      </c>
      <c r="D85" s="4" t="s">
        <v>85</v>
      </c>
      <c r="F85" s="1">
        <v>15717</v>
      </c>
      <c r="G85" s="1"/>
      <c r="H85" s="1">
        <f>11944+30818+4745</f>
        <v>47507</v>
      </c>
      <c r="I85" s="1"/>
      <c r="J85" s="1">
        <v>0</v>
      </c>
      <c r="K85" s="1"/>
      <c r="L85" s="1">
        <v>0</v>
      </c>
      <c r="M85" s="1"/>
      <c r="N85" s="1">
        <v>0</v>
      </c>
      <c r="O85" s="1"/>
      <c r="P85" s="1">
        <v>1858</v>
      </c>
      <c r="Q85" s="1"/>
      <c r="R85" s="1">
        <v>2969</v>
      </c>
      <c r="S85" s="1"/>
      <c r="T85" s="1">
        <v>0</v>
      </c>
      <c r="U85" s="1"/>
      <c r="V85" s="1">
        <v>0</v>
      </c>
      <c r="W85" s="1"/>
      <c r="X85" s="1">
        <v>0</v>
      </c>
      <c r="Y85" s="1"/>
      <c r="Z85" s="1">
        <v>0</v>
      </c>
      <c r="AA85" s="1"/>
      <c r="AB85" s="1">
        <v>0</v>
      </c>
      <c r="AC85" s="1"/>
      <c r="AD85" s="1">
        <v>0</v>
      </c>
      <c r="AF85" s="4">
        <f t="shared" si="2"/>
        <v>68051</v>
      </c>
    </row>
    <row r="86" spans="1:32" s="4" customFormat="1">
      <c r="A86" s="4">
        <v>52</v>
      </c>
      <c r="B86" s="4" t="s">
        <v>449</v>
      </c>
      <c r="D86" s="4" t="s">
        <v>17</v>
      </c>
      <c r="F86" s="73">
        <v>0</v>
      </c>
      <c r="G86" s="73"/>
      <c r="H86" s="73">
        <v>2310102.23</v>
      </c>
      <c r="I86" s="73"/>
      <c r="J86" s="73">
        <v>0</v>
      </c>
      <c r="K86" s="73"/>
      <c r="L86" s="73">
        <v>0</v>
      </c>
      <c r="M86" s="73"/>
      <c r="N86" s="73">
        <v>0</v>
      </c>
      <c r="O86" s="73"/>
      <c r="P86" s="73">
        <v>0</v>
      </c>
      <c r="Q86" s="73"/>
      <c r="R86" s="73">
        <v>0</v>
      </c>
      <c r="S86" s="73"/>
      <c r="T86" s="73">
        <v>0</v>
      </c>
      <c r="U86" s="73"/>
      <c r="V86" s="73">
        <v>0</v>
      </c>
      <c r="W86" s="73"/>
      <c r="X86" s="73">
        <v>0</v>
      </c>
      <c r="Y86" s="73"/>
      <c r="Z86" s="73">
        <v>0</v>
      </c>
      <c r="AA86" s="73"/>
      <c r="AB86" s="73">
        <v>0</v>
      </c>
      <c r="AC86" s="73"/>
      <c r="AD86" s="73">
        <v>0</v>
      </c>
      <c r="AE86" s="73"/>
      <c r="AF86" s="73">
        <f t="shared" ref="AF86:AF87" si="3">SUM(F86:AD86)</f>
        <v>2310102.23</v>
      </c>
    </row>
    <row r="87" spans="1:32" s="4" customFormat="1">
      <c r="A87" s="4">
        <v>39</v>
      </c>
      <c r="B87" s="3" t="s">
        <v>556</v>
      </c>
      <c r="C87" s="3"/>
      <c r="D87" s="3" t="s">
        <v>49</v>
      </c>
      <c r="E87" s="3"/>
      <c r="F87" s="6">
        <v>97277.89</v>
      </c>
      <c r="G87" s="6"/>
      <c r="H87" s="6">
        <v>416546.86</v>
      </c>
      <c r="I87" s="6"/>
      <c r="J87" s="6">
        <v>0</v>
      </c>
      <c r="K87" s="6"/>
      <c r="L87" s="6">
        <v>7816.62</v>
      </c>
      <c r="M87" s="6"/>
      <c r="N87" s="6">
        <v>0</v>
      </c>
      <c r="O87" s="6"/>
      <c r="P87" s="6">
        <v>0</v>
      </c>
      <c r="Q87" s="6"/>
      <c r="R87" s="6">
        <v>0</v>
      </c>
      <c r="S87" s="6"/>
      <c r="T87" s="6">
        <v>0</v>
      </c>
      <c r="U87" s="6"/>
      <c r="V87" s="6">
        <v>0</v>
      </c>
      <c r="W87" s="6"/>
      <c r="X87" s="6">
        <v>0</v>
      </c>
      <c r="Y87" s="6"/>
      <c r="Z87" s="6">
        <v>0</v>
      </c>
      <c r="AA87" s="6"/>
      <c r="AB87" s="6">
        <v>0</v>
      </c>
      <c r="AC87" s="6"/>
      <c r="AD87" s="6">
        <v>0</v>
      </c>
      <c r="AE87" s="6"/>
      <c r="AF87" s="6">
        <f t="shared" si="3"/>
        <v>521641.37</v>
      </c>
    </row>
    <row r="88" spans="1:32" s="4" customFormat="1">
      <c r="AF88" s="8" t="s">
        <v>580</v>
      </c>
    </row>
    <row r="89" spans="1:32">
      <c r="B89" s="3" t="s">
        <v>519</v>
      </c>
    </row>
    <row r="90" spans="1:32">
      <c r="B90" s="3" t="s">
        <v>626</v>
      </c>
    </row>
    <row r="91" spans="1:32">
      <c r="B91" s="41" t="s">
        <v>5</v>
      </c>
    </row>
    <row r="92" spans="1:32" s="36" customFormat="1">
      <c r="F92" s="36" t="s">
        <v>319</v>
      </c>
      <c r="H92" s="36" t="s">
        <v>548</v>
      </c>
      <c r="J92" s="36" t="s">
        <v>628</v>
      </c>
      <c r="L92" s="36" t="s">
        <v>547</v>
      </c>
      <c r="X92" s="36" t="s">
        <v>326</v>
      </c>
      <c r="AD92" s="36" t="s">
        <v>0</v>
      </c>
    </row>
    <row r="93" spans="1:32" s="36" customFormat="1">
      <c r="F93" s="36" t="s">
        <v>320</v>
      </c>
      <c r="H93" s="36" t="s">
        <v>321</v>
      </c>
      <c r="J93" s="36" t="s">
        <v>629</v>
      </c>
      <c r="L93" s="36" t="s">
        <v>545</v>
      </c>
      <c r="N93" s="36" t="s">
        <v>631</v>
      </c>
      <c r="T93" s="36" t="s">
        <v>28</v>
      </c>
      <c r="V93" s="36" t="s">
        <v>324</v>
      </c>
      <c r="X93" s="36" t="s">
        <v>327</v>
      </c>
      <c r="AD93" s="36" t="s">
        <v>294</v>
      </c>
    </row>
    <row r="94" spans="1:32" s="36" customFormat="1" ht="12" customHeight="1">
      <c r="A94" s="36" t="s">
        <v>567</v>
      </c>
      <c r="B94" s="37" t="s">
        <v>6</v>
      </c>
      <c r="C94" s="44"/>
      <c r="D94" s="37" t="s">
        <v>4</v>
      </c>
      <c r="E94" s="44"/>
      <c r="F94" s="37" t="s">
        <v>27</v>
      </c>
      <c r="G94" s="44"/>
      <c r="H94" s="37" t="s">
        <v>322</v>
      </c>
      <c r="I94" s="44"/>
      <c r="J94" s="37" t="s">
        <v>630</v>
      </c>
      <c r="K94" s="44"/>
      <c r="L94" s="37" t="s">
        <v>546</v>
      </c>
      <c r="M94" s="44"/>
      <c r="N94" s="45" t="s">
        <v>632</v>
      </c>
      <c r="O94" s="44"/>
      <c r="P94" s="37" t="s">
        <v>2</v>
      </c>
      <c r="Q94" s="44"/>
      <c r="R94" s="37" t="s">
        <v>0</v>
      </c>
      <c r="S94" s="44"/>
      <c r="T94" s="37" t="s">
        <v>323</v>
      </c>
      <c r="U94" s="44"/>
      <c r="V94" s="37" t="s">
        <v>325</v>
      </c>
      <c r="W94" s="44"/>
      <c r="X94" s="37" t="s">
        <v>328</v>
      </c>
      <c r="Y94" s="44"/>
      <c r="Z94" s="37" t="s">
        <v>499</v>
      </c>
      <c r="AA94" s="44"/>
      <c r="AB94" s="37" t="s">
        <v>500</v>
      </c>
      <c r="AC94" s="44"/>
      <c r="AD94" s="37" t="s">
        <v>329</v>
      </c>
      <c r="AE94" s="44"/>
      <c r="AF94" s="45" t="s">
        <v>26</v>
      </c>
    </row>
    <row r="95" spans="1:32" s="4" customFormat="1">
      <c r="A95" s="4">
        <v>40</v>
      </c>
      <c r="B95" s="4" t="s">
        <v>132</v>
      </c>
      <c r="D95" s="4" t="s">
        <v>49</v>
      </c>
      <c r="F95" s="75">
        <v>0</v>
      </c>
      <c r="G95" s="75"/>
      <c r="H95" s="75">
        <v>348124.12</v>
      </c>
      <c r="I95" s="75"/>
      <c r="J95" s="75">
        <v>0</v>
      </c>
      <c r="K95" s="75"/>
      <c r="L95" s="75">
        <v>0</v>
      </c>
      <c r="M95" s="75"/>
      <c r="N95" s="75">
        <v>0</v>
      </c>
      <c r="O95" s="75"/>
      <c r="P95" s="75">
        <v>0</v>
      </c>
      <c r="Q95" s="75"/>
      <c r="R95" s="75">
        <v>0</v>
      </c>
      <c r="S95" s="75"/>
      <c r="T95" s="75">
        <v>0</v>
      </c>
      <c r="U95" s="75"/>
      <c r="V95" s="75">
        <v>0</v>
      </c>
      <c r="W95" s="75"/>
      <c r="X95" s="75">
        <v>0</v>
      </c>
      <c r="Y95" s="75"/>
      <c r="Z95" s="75">
        <v>0</v>
      </c>
      <c r="AA95" s="75"/>
      <c r="AB95" s="75">
        <v>0</v>
      </c>
      <c r="AC95" s="75"/>
      <c r="AD95" s="75">
        <v>0</v>
      </c>
      <c r="AE95" s="75"/>
      <c r="AF95" s="75">
        <f t="shared" ref="AF95:AF124" si="4">SUM(F95:AD95)</f>
        <v>348124.12</v>
      </c>
    </row>
    <row r="96" spans="1:32" s="4" customFormat="1">
      <c r="A96" s="4">
        <v>155</v>
      </c>
      <c r="B96" s="4" t="s">
        <v>423</v>
      </c>
      <c r="D96" s="4" t="s">
        <v>18</v>
      </c>
      <c r="F96" s="1">
        <v>150220</v>
      </c>
      <c r="G96" s="1"/>
      <c r="H96" s="1">
        <v>502423</v>
      </c>
      <c r="I96" s="1"/>
      <c r="J96" s="1">
        <v>459729</v>
      </c>
      <c r="K96" s="1"/>
      <c r="L96" s="1">
        <v>197327</v>
      </c>
      <c r="M96" s="1"/>
      <c r="N96" s="1">
        <v>554482</v>
      </c>
      <c r="O96" s="1"/>
      <c r="P96" s="1">
        <v>0</v>
      </c>
      <c r="Q96" s="1"/>
      <c r="R96" s="1">
        <v>0</v>
      </c>
      <c r="S96" s="1"/>
      <c r="T96" s="1">
        <v>64814</v>
      </c>
      <c r="U96" s="1"/>
      <c r="V96" s="1">
        <v>0</v>
      </c>
      <c r="W96" s="1"/>
      <c r="X96" s="1">
        <v>0</v>
      </c>
      <c r="Y96" s="1"/>
      <c r="Z96" s="1">
        <v>5402</v>
      </c>
      <c r="AA96" s="1"/>
      <c r="AB96" s="1">
        <v>0</v>
      </c>
      <c r="AC96" s="1"/>
      <c r="AD96" s="1">
        <v>0</v>
      </c>
      <c r="AF96" s="4">
        <f t="shared" si="4"/>
        <v>1934397</v>
      </c>
    </row>
    <row r="97" spans="1:32" s="4" customFormat="1">
      <c r="A97" s="4">
        <v>142</v>
      </c>
      <c r="B97" s="4" t="s">
        <v>133</v>
      </c>
      <c r="D97" s="4" t="s">
        <v>55</v>
      </c>
      <c r="F97" s="1">
        <v>205466</v>
      </c>
      <c r="G97" s="1"/>
      <c r="H97" s="1">
        <v>10010</v>
      </c>
      <c r="I97" s="1"/>
      <c r="J97" s="1">
        <v>513153</v>
      </c>
      <c r="K97" s="1"/>
      <c r="L97" s="1">
        <v>327967</v>
      </c>
      <c r="M97" s="1"/>
      <c r="N97" s="1">
        <v>2403057</v>
      </c>
      <c r="O97" s="1"/>
      <c r="P97" s="1">
        <v>0</v>
      </c>
      <c r="Q97" s="1"/>
      <c r="R97" s="1">
        <v>0</v>
      </c>
      <c r="S97" s="1"/>
      <c r="T97" s="1">
        <v>43729</v>
      </c>
      <c r="U97" s="1"/>
      <c r="V97" s="1">
        <v>0</v>
      </c>
      <c r="W97" s="1"/>
      <c r="X97" s="1">
        <v>0</v>
      </c>
      <c r="Y97" s="1"/>
      <c r="Z97" s="1">
        <v>0</v>
      </c>
      <c r="AA97" s="1"/>
      <c r="AB97" s="1">
        <v>0</v>
      </c>
      <c r="AC97" s="1"/>
      <c r="AD97" s="1">
        <v>877929</v>
      </c>
      <c r="AF97" s="4">
        <f t="shared" si="4"/>
        <v>4381311</v>
      </c>
    </row>
    <row r="98" spans="1:32" s="4" customFormat="1">
      <c r="A98" s="4">
        <v>53</v>
      </c>
      <c r="B98" s="4" t="s">
        <v>16</v>
      </c>
      <c r="D98" s="4" t="s">
        <v>17</v>
      </c>
      <c r="F98" s="1">
        <v>582287</v>
      </c>
      <c r="G98" s="1"/>
      <c r="H98" s="1">
        <f>687496+3008107</f>
        <v>3695603</v>
      </c>
      <c r="I98" s="1"/>
      <c r="J98" s="1">
        <v>0</v>
      </c>
      <c r="K98" s="1"/>
      <c r="L98" s="1">
        <v>0</v>
      </c>
      <c r="M98" s="1"/>
      <c r="N98" s="1">
        <v>0</v>
      </c>
      <c r="O98" s="1"/>
      <c r="P98" s="1">
        <v>85609</v>
      </c>
      <c r="Q98" s="1"/>
      <c r="R98" s="1">
        <v>13284</v>
      </c>
      <c r="S98" s="1"/>
      <c r="T98" s="1">
        <v>100232</v>
      </c>
      <c r="U98" s="1"/>
      <c r="V98" s="1">
        <v>0</v>
      </c>
      <c r="W98" s="1"/>
      <c r="X98" s="1">
        <v>0</v>
      </c>
      <c r="Y98" s="1"/>
      <c r="Z98" s="1">
        <v>0</v>
      </c>
      <c r="AA98" s="1"/>
      <c r="AB98" s="1">
        <v>0</v>
      </c>
      <c r="AC98" s="1"/>
      <c r="AD98" s="1">
        <v>0</v>
      </c>
      <c r="AF98" s="4">
        <f t="shared" si="4"/>
        <v>4477015</v>
      </c>
    </row>
    <row r="99" spans="1:32" s="4" customFormat="1">
      <c r="A99" s="4">
        <v>84</v>
      </c>
      <c r="B99" s="4" t="s">
        <v>134</v>
      </c>
      <c r="D99" s="4" t="s">
        <v>40</v>
      </c>
      <c r="F99" s="76">
        <v>0</v>
      </c>
      <c r="G99" s="76"/>
      <c r="H99" s="76">
        <v>251382.41</v>
      </c>
      <c r="I99" s="76"/>
      <c r="J99" s="76">
        <v>0</v>
      </c>
      <c r="K99" s="76"/>
      <c r="L99" s="76">
        <v>0</v>
      </c>
      <c r="M99" s="76"/>
      <c r="N99" s="76">
        <v>0</v>
      </c>
      <c r="O99" s="76"/>
      <c r="P99" s="76">
        <v>0</v>
      </c>
      <c r="Q99" s="76"/>
      <c r="R99" s="76">
        <v>0</v>
      </c>
      <c r="S99" s="76"/>
      <c r="T99" s="76">
        <v>0</v>
      </c>
      <c r="U99" s="76"/>
      <c r="V99" s="76">
        <v>0</v>
      </c>
      <c r="W99" s="76"/>
      <c r="X99" s="76">
        <v>0</v>
      </c>
      <c r="Y99" s="76"/>
      <c r="Z99" s="76">
        <v>0</v>
      </c>
      <c r="AA99" s="76"/>
      <c r="AB99" s="76">
        <v>0</v>
      </c>
      <c r="AC99" s="76"/>
      <c r="AD99" s="76">
        <v>0</v>
      </c>
      <c r="AE99" s="76"/>
      <c r="AF99" s="76">
        <f t="shared" si="4"/>
        <v>251382.41</v>
      </c>
    </row>
    <row r="100" spans="1:32" s="4" customFormat="1">
      <c r="B100" s="4" t="s">
        <v>623</v>
      </c>
      <c r="D100" s="4" t="s">
        <v>87</v>
      </c>
      <c r="F100" s="1">
        <v>10932</v>
      </c>
      <c r="G100" s="1"/>
      <c r="H100" s="1">
        <v>13571</v>
      </c>
      <c r="I100" s="1"/>
      <c r="J100" s="1">
        <v>19975</v>
      </c>
      <c r="K100" s="1"/>
      <c r="L100" s="1">
        <v>63629</v>
      </c>
      <c r="M100" s="1"/>
      <c r="N100" s="1">
        <v>519667</v>
      </c>
      <c r="O100" s="1"/>
      <c r="P100" s="1">
        <v>0</v>
      </c>
      <c r="Q100" s="1"/>
      <c r="R100" s="1">
        <v>0</v>
      </c>
      <c r="S100" s="1"/>
      <c r="T100" s="1">
        <v>559</v>
      </c>
      <c r="U100" s="1"/>
      <c r="V100" s="1">
        <v>0</v>
      </c>
      <c r="W100" s="1"/>
      <c r="X100" s="1">
        <v>0</v>
      </c>
      <c r="Y100" s="1"/>
      <c r="Z100" s="1">
        <v>0</v>
      </c>
      <c r="AA100" s="1"/>
      <c r="AB100" s="1">
        <v>0</v>
      </c>
      <c r="AC100" s="1"/>
      <c r="AD100" s="1">
        <v>0</v>
      </c>
      <c r="AF100" s="4">
        <f t="shared" si="4"/>
        <v>628333</v>
      </c>
    </row>
    <row r="101" spans="1:32" s="4" customFormat="1">
      <c r="A101" s="4">
        <v>70</v>
      </c>
      <c r="B101" s="4" t="s">
        <v>430</v>
      </c>
      <c r="D101" s="4" t="s">
        <v>65</v>
      </c>
      <c r="F101" s="1">
        <v>0</v>
      </c>
      <c r="G101" s="1"/>
      <c r="H101" s="1">
        <v>3076960</v>
      </c>
      <c r="I101" s="1"/>
      <c r="J101" s="1">
        <v>0</v>
      </c>
      <c r="K101" s="1"/>
      <c r="L101" s="1">
        <v>0</v>
      </c>
      <c r="M101" s="1"/>
      <c r="N101" s="1">
        <v>0</v>
      </c>
      <c r="O101" s="1"/>
      <c r="P101" s="1">
        <v>0</v>
      </c>
      <c r="Q101" s="1"/>
      <c r="R101" s="1">
        <v>0</v>
      </c>
      <c r="S101" s="1"/>
      <c r="T101" s="1">
        <v>0</v>
      </c>
      <c r="U101" s="1"/>
      <c r="V101" s="1">
        <v>0</v>
      </c>
      <c r="W101" s="1"/>
      <c r="X101" s="1">
        <v>0</v>
      </c>
      <c r="Y101" s="1"/>
      <c r="Z101" s="1">
        <v>341438</v>
      </c>
      <c r="AA101" s="1"/>
      <c r="AB101" s="1">
        <v>0</v>
      </c>
      <c r="AC101" s="1"/>
      <c r="AD101" s="1">
        <v>0</v>
      </c>
      <c r="AF101" s="4">
        <f t="shared" si="4"/>
        <v>3418398</v>
      </c>
    </row>
    <row r="102" spans="1:32" s="4" customFormat="1">
      <c r="A102" s="4">
        <v>123</v>
      </c>
      <c r="B102" s="4" t="s">
        <v>135</v>
      </c>
      <c r="D102" s="4" t="s">
        <v>13</v>
      </c>
      <c r="F102" s="1">
        <v>0</v>
      </c>
      <c r="G102" s="1"/>
      <c r="H102" s="1">
        <v>335997</v>
      </c>
      <c r="I102" s="1"/>
      <c r="J102" s="1">
        <v>0</v>
      </c>
      <c r="K102" s="1"/>
      <c r="L102" s="1">
        <v>0</v>
      </c>
      <c r="M102" s="1"/>
      <c r="N102" s="1">
        <v>0</v>
      </c>
      <c r="O102" s="1"/>
      <c r="P102" s="1">
        <v>0</v>
      </c>
      <c r="Q102" s="1"/>
      <c r="R102" s="1">
        <v>0</v>
      </c>
      <c r="S102" s="1"/>
      <c r="T102" s="1">
        <v>0</v>
      </c>
      <c r="U102" s="1"/>
      <c r="V102" s="1">
        <v>0</v>
      </c>
      <c r="W102" s="1"/>
      <c r="X102" s="1">
        <v>0</v>
      </c>
      <c r="Y102" s="1"/>
      <c r="Z102" s="1">
        <v>0</v>
      </c>
      <c r="AA102" s="1"/>
      <c r="AB102" s="1">
        <v>0</v>
      </c>
      <c r="AC102" s="1"/>
      <c r="AD102" s="1">
        <v>0</v>
      </c>
      <c r="AF102" s="4">
        <f t="shared" si="4"/>
        <v>335997</v>
      </c>
    </row>
    <row r="103" spans="1:32" s="4" customFormat="1">
      <c r="A103" s="4">
        <v>93</v>
      </c>
      <c r="B103" s="4" t="s">
        <v>586</v>
      </c>
      <c r="D103" s="4" t="s">
        <v>137</v>
      </c>
      <c r="F103" s="6">
        <v>0</v>
      </c>
      <c r="G103" s="6"/>
      <c r="H103" s="6">
        <v>2400949.91</v>
      </c>
      <c r="I103" s="6"/>
      <c r="J103" s="6">
        <v>0</v>
      </c>
      <c r="K103" s="6"/>
      <c r="L103" s="6">
        <v>0</v>
      </c>
      <c r="M103" s="6"/>
      <c r="N103" s="6">
        <v>0</v>
      </c>
      <c r="O103" s="6"/>
      <c r="P103" s="6">
        <v>0</v>
      </c>
      <c r="Q103" s="6"/>
      <c r="R103" s="6">
        <v>0</v>
      </c>
      <c r="S103" s="6"/>
      <c r="T103" s="6">
        <v>140071.04000000001</v>
      </c>
      <c r="U103" s="6"/>
      <c r="V103" s="6">
        <v>220000</v>
      </c>
      <c r="W103" s="6"/>
      <c r="X103" s="6">
        <v>9350</v>
      </c>
      <c r="Y103" s="6"/>
      <c r="Z103" s="6">
        <v>15000</v>
      </c>
      <c r="AA103" s="6"/>
      <c r="AB103" s="6">
        <v>0</v>
      </c>
      <c r="AC103" s="6"/>
      <c r="AD103" s="6">
        <v>0</v>
      </c>
      <c r="AE103" s="6"/>
      <c r="AF103" s="6">
        <f t="shared" si="4"/>
        <v>2785370.95</v>
      </c>
    </row>
    <row r="104" spans="1:32" s="4" customFormat="1" hidden="1">
      <c r="A104" s="4">
        <v>93</v>
      </c>
      <c r="B104" s="4" t="s">
        <v>361</v>
      </c>
      <c r="D104" s="4" t="s">
        <v>51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AA104" s="1"/>
      <c r="AB104" s="1"/>
      <c r="AC104" s="1"/>
      <c r="AD104" s="1"/>
      <c r="AF104" s="4">
        <f t="shared" si="4"/>
        <v>0</v>
      </c>
    </row>
    <row r="105" spans="1:32" s="4" customFormat="1">
      <c r="A105" s="4">
        <v>97</v>
      </c>
      <c r="B105" s="4" t="s">
        <v>138</v>
      </c>
      <c r="D105" s="4" t="s">
        <v>59</v>
      </c>
      <c r="F105" s="6">
        <v>0</v>
      </c>
      <c r="G105" s="6"/>
      <c r="H105" s="6">
        <v>130965.98</v>
      </c>
      <c r="I105" s="6"/>
      <c r="J105" s="6">
        <v>0</v>
      </c>
      <c r="K105" s="6"/>
      <c r="L105" s="6">
        <v>0</v>
      </c>
      <c r="M105" s="6"/>
      <c r="N105" s="6">
        <v>0</v>
      </c>
      <c r="O105" s="6"/>
      <c r="P105" s="6">
        <v>0</v>
      </c>
      <c r="Q105" s="6"/>
      <c r="R105" s="6">
        <v>0</v>
      </c>
      <c r="S105" s="6"/>
      <c r="T105" s="6">
        <v>3469.54</v>
      </c>
      <c r="U105" s="6"/>
      <c r="V105" s="6">
        <v>0</v>
      </c>
      <c r="W105" s="6"/>
      <c r="X105" s="6">
        <v>0</v>
      </c>
      <c r="Y105" s="6"/>
      <c r="Z105" s="6">
        <v>0</v>
      </c>
      <c r="AA105" s="6"/>
      <c r="AB105" s="6">
        <v>0</v>
      </c>
      <c r="AC105" s="6"/>
      <c r="AD105" s="6">
        <v>0</v>
      </c>
      <c r="AE105" s="6"/>
      <c r="AF105" s="6">
        <f t="shared" si="4"/>
        <v>134435.51999999999</v>
      </c>
    </row>
    <row r="106" spans="1:32" s="4" customFormat="1">
      <c r="A106" s="4">
        <v>159</v>
      </c>
      <c r="B106" s="4" t="s">
        <v>139</v>
      </c>
      <c r="D106" s="4" t="s">
        <v>48</v>
      </c>
      <c r="F106" s="1">
        <v>8592</v>
      </c>
      <c r="G106" s="1"/>
      <c r="H106" s="1">
        <v>59204</v>
      </c>
      <c r="I106" s="1"/>
      <c r="J106" s="1">
        <v>20524</v>
      </c>
      <c r="K106" s="1"/>
      <c r="L106" s="1">
        <v>10882</v>
      </c>
      <c r="M106" s="1"/>
      <c r="N106" s="1">
        <v>6569</v>
      </c>
      <c r="O106" s="1"/>
      <c r="P106" s="1">
        <v>0</v>
      </c>
      <c r="Q106" s="1"/>
      <c r="R106" s="1">
        <v>0</v>
      </c>
      <c r="S106" s="1"/>
      <c r="T106" s="1">
        <v>1990</v>
      </c>
      <c r="U106" s="1"/>
      <c r="V106" s="1">
        <v>0</v>
      </c>
      <c r="W106" s="1"/>
      <c r="X106" s="1">
        <v>0</v>
      </c>
      <c r="Y106" s="1"/>
      <c r="Z106" s="1">
        <v>0</v>
      </c>
      <c r="AA106" s="1"/>
      <c r="AB106" s="1">
        <v>0</v>
      </c>
      <c r="AC106" s="1"/>
      <c r="AD106" s="1">
        <v>0</v>
      </c>
      <c r="AF106" s="4">
        <f t="shared" si="4"/>
        <v>107761</v>
      </c>
    </row>
    <row r="107" spans="1:32" s="4" customFormat="1">
      <c r="A107" s="4">
        <v>240</v>
      </c>
      <c r="B107" s="4" t="s">
        <v>140</v>
      </c>
      <c r="D107" s="4" t="s">
        <v>52</v>
      </c>
      <c r="F107" s="6">
        <v>0</v>
      </c>
      <c r="G107" s="6"/>
      <c r="H107" s="6">
        <v>1480684.06</v>
      </c>
      <c r="I107" s="6"/>
      <c r="J107" s="6">
        <v>0</v>
      </c>
      <c r="K107" s="6"/>
      <c r="L107" s="6">
        <v>0</v>
      </c>
      <c r="M107" s="6"/>
      <c r="N107" s="6">
        <v>0</v>
      </c>
      <c r="O107" s="6"/>
      <c r="P107" s="6">
        <v>0</v>
      </c>
      <c r="Q107" s="6"/>
      <c r="R107" s="6">
        <v>0</v>
      </c>
      <c r="S107" s="6"/>
      <c r="T107" s="6">
        <v>59611.44</v>
      </c>
      <c r="U107" s="6"/>
      <c r="V107" s="6">
        <v>0</v>
      </c>
      <c r="W107" s="6"/>
      <c r="X107" s="6">
        <v>0</v>
      </c>
      <c r="Y107" s="6"/>
      <c r="Z107" s="6">
        <v>840305.59</v>
      </c>
      <c r="AA107" s="6"/>
      <c r="AB107" s="6">
        <v>0</v>
      </c>
      <c r="AC107" s="6"/>
      <c r="AD107" s="6">
        <v>458.04</v>
      </c>
      <c r="AE107" s="6"/>
      <c r="AF107" s="6">
        <f t="shared" si="4"/>
        <v>2381059.13</v>
      </c>
    </row>
    <row r="108" spans="1:32" s="4" customFormat="1">
      <c r="A108" s="4">
        <v>48</v>
      </c>
      <c r="B108" s="4" t="s">
        <v>141</v>
      </c>
      <c r="D108" s="4" t="s">
        <v>50</v>
      </c>
      <c r="F108" s="6">
        <v>0</v>
      </c>
      <c r="G108" s="6"/>
      <c r="H108" s="6">
        <v>572167.5</v>
      </c>
      <c r="I108" s="6"/>
      <c r="J108" s="6">
        <v>0</v>
      </c>
      <c r="K108" s="6"/>
      <c r="L108" s="6">
        <v>0</v>
      </c>
      <c r="M108" s="6"/>
      <c r="N108" s="6">
        <v>0</v>
      </c>
      <c r="O108" s="6"/>
      <c r="P108" s="6">
        <v>0</v>
      </c>
      <c r="Q108" s="6"/>
      <c r="R108" s="6">
        <v>0</v>
      </c>
      <c r="S108" s="6"/>
      <c r="T108" s="6">
        <v>26181.29</v>
      </c>
      <c r="U108" s="6"/>
      <c r="V108" s="6">
        <v>0</v>
      </c>
      <c r="W108" s="6"/>
      <c r="X108" s="6">
        <v>0</v>
      </c>
      <c r="Y108" s="6"/>
      <c r="Z108" s="6">
        <v>200000</v>
      </c>
      <c r="AA108" s="6"/>
      <c r="AB108" s="6">
        <v>0</v>
      </c>
      <c r="AC108" s="6"/>
      <c r="AD108" s="6">
        <v>0</v>
      </c>
      <c r="AE108" s="6"/>
      <c r="AF108" s="6">
        <f t="shared" si="4"/>
        <v>798348.79</v>
      </c>
    </row>
    <row r="109" spans="1:32" s="4" customFormat="1">
      <c r="A109" s="4">
        <v>190</v>
      </c>
      <c r="B109" s="4" t="s">
        <v>142</v>
      </c>
      <c r="D109" s="4" t="s">
        <v>143</v>
      </c>
      <c r="F109" s="1">
        <v>0</v>
      </c>
      <c r="G109" s="1"/>
      <c r="H109" s="1">
        <v>1029225</v>
      </c>
      <c r="I109" s="1"/>
      <c r="J109" s="1">
        <v>0</v>
      </c>
      <c r="K109" s="1"/>
      <c r="L109" s="1">
        <v>0</v>
      </c>
      <c r="M109" s="1"/>
      <c r="N109" s="1">
        <v>0</v>
      </c>
      <c r="O109" s="1"/>
      <c r="P109" s="1">
        <v>0</v>
      </c>
      <c r="Q109" s="1"/>
      <c r="R109" s="1">
        <v>0</v>
      </c>
      <c r="S109" s="1"/>
      <c r="T109" s="1">
        <v>53141</v>
      </c>
      <c r="U109" s="1"/>
      <c r="V109" s="1">
        <v>0</v>
      </c>
      <c r="W109" s="1"/>
      <c r="X109" s="1">
        <v>0</v>
      </c>
      <c r="Y109" s="1"/>
      <c r="Z109" s="1">
        <v>0</v>
      </c>
      <c r="AA109" s="1"/>
      <c r="AB109" s="1">
        <v>0</v>
      </c>
      <c r="AC109" s="1"/>
      <c r="AD109" s="1">
        <v>0</v>
      </c>
      <c r="AF109" s="4">
        <f t="shared" si="4"/>
        <v>1082366</v>
      </c>
    </row>
    <row r="110" spans="1:32" s="4" customFormat="1">
      <c r="A110" s="4">
        <v>90</v>
      </c>
      <c r="B110" s="4" t="s">
        <v>144</v>
      </c>
      <c r="D110" s="4" t="s">
        <v>15</v>
      </c>
      <c r="F110" s="1">
        <v>472719</v>
      </c>
      <c r="G110" s="1"/>
      <c r="H110" s="1">
        <v>3097146</v>
      </c>
      <c r="I110" s="1"/>
      <c r="J110" s="1">
        <v>1461371</v>
      </c>
      <c r="K110" s="1"/>
      <c r="L110" s="1">
        <v>323652</v>
      </c>
      <c r="M110" s="1"/>
      <c r="N110" s="1">
        <v>613889</v>
      </c>
      <c r="O110" s="1"/>
      <c r="P110" s="1">
        <v>0</v>
      </c>
      <c r="Q110" s="1"/>
      <c r="R110" s="1">
        <v>0</v>
      </c>
      <c r="S110" s="1"/>
      <c r="T110" s="1">
        <v>271021</v>
      </c>
      <c r="U110" s="1"/>
      <c r="V110" s="1">
        <v>180000</v>
      </c>
      <c r="W110" s="1"/>
      <c r="X110" s="1">
        <v>7686</v>
      </c>
      <c r="Y110" s="1"/>
      <c r="Z110" s="1">
        <v>1159500</v>
      </c>
      <c r="AA110" s="1"/>
      <c r="AB110" s="1">
        <v>27969</v>
      </c>
      <c r="AC110" s="1"/>
      <c r="AD110" s="1">
        <v>0</v>
      </c>
      <c r="AF110" s="4">
        <f t="shared" si="4"/>
        <v>7614953</v>
      </c>
    </row>
    <row r="111" spans="1:32" s="4" customFormat="1">
      <c r="A111" s="4">
        <v>170</v>
      </c>
      <c r="B111" s="4" t="s">
        <v>145</v>
      </c>
      <c r="D111" s="4" t="s">
        <v>53</v>
      </c>
      <c r="F111" s="6">
        <v>0</v>
      </c>
      <c r="G111" s="6"/>
      <c r="H111" s="6">
        <v>560541.02</v>
      </c>
      <c r="I111" s="6"/>
      <c r="J111" s="6">
        <v>0</v>
      </c>
      <c r="K111" s="6"/>
      <c r="L111" s="6">
        <v>0</v>
      </c>
      <c r="M111" s="6"/>
      <c r="N111" s="6">
        <v>0</v>
      </c>
      <c r="O111" s="6"/>
      <c r="P111" s="6">
        <v>0</v>
      </c>
      <c r="Q111" s="6"/>
      <c r="R111" s="6">
        <v>0</v>
      </c>
      <c r="S111" s="6"/>
      <c r="T111" s="6">
        <v>0</v>
      </c>
      <c r="U111" s="6"/>
      <c r="V111" s="6">
        <v>67267.64</v>
      </c>
      <c r="W111" s="6"/>
      <c r="X111" s="6">
        <v>23563.360000000001</v>
      </c>
      <c r="Y111" s="6"/>
      <c r="Z111" s="6">
        <v>20000</v>
      </c>
      <c r="AA111" s="6"/>
      <c r="AB111" s="6">
        <v>0</v>
      </c>
      <c r="AC111" s="6"/>
      <c r="AD111" s="6">
        <v>0</v>
      </c>
      <c r="AE111" s="6"/>
      <c r="AF111" s="6">
        <f t="shared" si="4"/>
        <v>671372.02</v>
      </c>
    </row>
    <row r="112" spans="1:32" s="4" customFormat="1">
      <c r="A112" s="4">
        <v>170</v>
      </c>
      <c r="B112" s="4" t="s">
        <v>32</v>
      </c>
      <c r="D112" s="4" t="s">
        <v>54</v>
      </c>
      <c r="F112" s="6">
        <v>0</v>
      </c>
      <c r="G112" s="6"/>
      <c r="H112" s="6">
        <v>685232.51</v>
      </c>
      <c r="I112" s="6"/>
      <c r="J112" s="6">
        <v>0</v>
      </c>
      <c r="K112" s="6"/>
      <c r="L112" s="6">
        <v>0</v>
      </c>
      <c r="M112" s="6"/>
      <c r="N112" s="6">
        <v>0</v>
      </c>
      <c r="O112" s="6"/>
      <c r="P112" s="6">
        <v>0</v>
      </c>
      <c r="Q112" s="6"/>
      <c r="R112" s="6">
        <v>0</v>
      </c>
      <c r="S112" s="6"/>
      <c r="T112" s="6">
        <v>10374.1</v>
      </c>
      <c r="U112" s="6"/>
      <c r="V112" s="6">
        <v>0</v>
      </c>
      <c r="W112" s="6"/>
      <c r="X112" s="6">
        <v>0</v>
      </c>
      <c r="Y112" s="6"/>
      <c r="Z112" s="6">
        <v>0</v>
      </c>
      <c r="AA112" s="6"/>
      <c r="AB112" s="6">
        <v>0</v>
      </c>
      <c r="AC112" s="6"/>
      <c r="AD112" s="6">
        <v>0</v>
      </c>
      <c r="AE112" s="6"/>
      <c r="AF112" s="6">
        <f t="shared" si="4"/>
        <v>695606.61</v>
      </c>
    </row>
    <row r="113" spans="1:32" s="4" customFormat="1">
      <c r="A113" s="4">
        <v>224</v>
      </c>
      <c r="B113" s="4" t="s">
        <v>33</v>
      </c>
      <c r="D113" s="4" t="s">
        <v>24</v>
      </c>
      <c r="F113" s="6">
        <v>0</v>
      </c>
      <c r="G113" s="6"/>
      <c r="H113" s="6">
        <v>107092.45</v>
      </c>
      <c r="I113" s="6"/>
      <c r="J113" s="6">
        <v>0</v>
      </c>
      <c r="K113" s="6"/>
      <c r="L113" s="6">
        <v>0</v>
      </c>
      <c r="M113" s="6"/>
      <c r="N113" s="6">
        <v>0</v>
      </c>
      <c r="O113" s="6"/>
      <c r="P113" s="6">
        <v>0</v>
      </c>
      <c r="Q113" s="6"/>
      <c r="R113" s="6">
        <v>0</v>
      </c>
      <c r="S113" s="6"/>
      <c r="T113" s="6">
        <v>0</v>
      </c>
      <c r="U113" s="6"/>
      <c r="V113" s="6">
        <v>0</v>
      </c>
      <c r="W113" s="6"/>
      <c r="X113" s="6">
        <v>0</v>
      </c>
      <c r="Y113" s="6"/>
      <c r="Z113" s="6">
        <v>0</v>
      </c>
      <c r="AA113" s="6"/>
      <c r="AB113" s="6">
        <v>0</v>
      </c>
      <c r="AC113" s="6"/>
      <c r="AD113" s="6">
        <v>0</v>
      </c>
      <c r="AE113" s="6"/>
      <c r="AF113" s="6">
        <f t="shared" si="4"/>
        <v>107092.45</v>
      </c>
    </row>
    <row r="114" spans="1:32" s="4" customFormat="1">
      <c r="A114" s="4">
        <v>143</v>
      </c>
      <c r="B114" s="4" t="s">
        <v>146</v>
      </c>
      <c r="D114" s="4" t="s">
        <v>55</v>
      </c>
      <c r="F114" s="76">
        <v>0</v>
      </c>
      <c r="G114" s="76"/>
      <c r="H114" s="76">
        <v>665485.01</v>
      </c>
      <c r="I114" s="76"/>
      <c r="J114" s="76">
        <v>0</v>
      </c>
      <c r="K114" s="76"/>
      <c r="L114" s="76">
        <v>0</v>
      </c>
      <c r="M114" s="76"/>
      <c r="N114" s="76">
        <v>0</v>
      </c>
      <c r="O114" s="76"/>
      <c r="P114" s="76">
        <v>0</v>
      </c>
      <c r="Q114" s="76"/>
      <c r="R114" s="76">
        <v>0</v>
      </c>
      <c r="S114" s="76"/>
      <c r="T114" s="76">
        <v>56373.79</v>
      </c>
      <c r="U114" s="76"/>
      <c r="V114" s="76">
        <v>0</v>
      </c>
      <c r="W114" s="76"/>
      <c r="X114" s="76">
        <v>0</v>
      </c>
      <c r="Y114" s="76"/>
      <c r="Z114" s="76">
        <v>150000</v>
      </c>
      <c r="AA114" s="76"/>
      <c r="AB114" s="76">
        <v>0</v>
      </c>
      <c r="AC114" s="76"/>
      <c r="AD114" s="76">
        <v>0</v>
      </c>
      <c r="AE114" s="76"/>
      <c r="AF114" s="76">
        <f t="shared" si="4"/>
        <v>871858.8</v>
      </c>
    </row>
    <row r="115" spans="1:32" s="4" customFormat="1">
      <c r="A115" s="4">
        <v>11</v>
      </c>
      <c r="B115" s="4" t="s">
        <v>302</v>
      </c>
      <c r="D115" s="4" t="s">
        <v>41</v>
      </c>
      <c r="F115" s="6">
        <v>0</v>
      </c>
      <c r="G115" s="6"/>
      <c r="H115" s="6">
        <v>0</v>
      </c>
      <c r="I115" s="6"/>
      <c r="J115" s="6">
        <v>0</v>
      </c>
      <c r="K115" s="6"/>
      <c r="L115" s="6">
        <v>0</v>
      </c>
      <c r="M115" s="6"/>
      <c r="N115" s="6">
        <v>0</v>
      </c>
      <c r="O115" s="6"/>
      <c r="P115" s="6">
        <v>0</v>
      </c>
      <c r="Q115" s="6"/>
      <c r="R115" s="6">
        <v>0</v>
      </c>
      <c r="S115" s="6"/>
      <c r="T115" s="6">
        <v>11805.23</v>
      </c>
      <c r="U115" s="6"/>
      <c r="V115" s="6">
        <v>0</v>
      </c>
      <c r="W115" s="6"/>
      <c r="X115" s="6">
        <v>0</v>
      </c>
      <c r="Y115" s="6"/>
      <c r="Z115" s="6">
        <v>0</v>
      </c>
      <c r="AA115" s="6"/>
      <c r="AB115" s="6">
        <v>0</v>
      </c>
      <c r="AC115" s="6"/>
      <c r="AD115" s="6">
        <v>0</v>
      </c>
      <c r="AE115" s="6"/>
      <c r="AF115" s="6">
        <f t="shared" si="4"/>
        <v>11805.23</v>
      </c>
    </row>
    <row r="116" spans="1:32" s="4" customFormat="1">
      <c r="A116" s="4">
        <v>77</v>
      </c>
      <c r="B116" s="4" t="s">
        <v>147</v>
      </c>
      <c r="D116" s="4" t="s">
        <v>90</v>
      </c>
      <c r="F116" s="1">
        <v>0</v>
      </c>
      <c r="G116" s="1"/>
      <c r="H116" s="1">
        <v>2273439</v>
      </c>
      <c r="I116" s="1"/>
      <c r="J116" s="1">
        <v>0</v>
      </c>
      <c r="K116" s="1"/>
      <c r="L116" s="1">
        <v>12439</v>
      </c>
      <c r="M116" s="1"/>
      <c r="N116" s="1">
        <v>0</v>
      </c>
      <c r="O116" s="1"/>
      <c r="P116" s="1">
        <v>0</v>
      </c>
      <c r="Q116" s="1"/>
      <c r="R116" s="1">
        <v>0</v>
      </c>
      <c r="S116" s="1"/>
      <c r="T116" s="1">
        <v>73582</v>
      </c>
      <c r="U116" s="1"/>
      <c r="V116" s="1">
        <v>36000</v>
      </c>
      <c r="W116" s="1"/>
      <c r="X116" s="1">
        <v>2803</v>
      </c>
      <c r="Y116" s="1"/>
      <c r="Z116" s="1">
        <v>301050</v>
      </c>
      <c r="AA116" s="1"/>
      <c r="AB116" s="1">
        <v>0</v>
      </c>
      <c r="AC116" s="1"/>
      <c r="AD116" s="1">
        <v>0</v>
      </c>
      <c r="AF116" s="4">
        <f t="shared" si="4"/>
        <v>2699313</v>
      </c>
    </row>
    <row r="117" spans="1:32" s="4" customFormat="1" hidden="1">
      <c r="A117" s="4">
        <v>132</v>
      </c>
      <c r="B117" s="4" t="s">
        <v>148</v>
      </c>
      <c r="D117" s="4" t="s">
        <v>39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F117" s="4">
        <f t="shared" si="4"/>
        <v>0</v>
      </c>
    </row>
    <row r="118" spans="1:32" s="4" customFormat="1">
      <c r="A118" s="4">
        <v>91</v>
      </c>
      <c r="B118" s="4" t="s">
        <v>587</v>
      </c>
      <c r="D118" s="4" t="s">
        <v>150</v>
      </c>
      <c r="F118" s="1">
        <v>395180</v>
      </c>
      <c r="G118" s="1"/>
      <c r="H118" s="1">
        <f>3489081+1296643</f>
        <v>4785724</v>
      </c>
      <c r="I118" s="1"/>
      <c r="J118" s="1">
        <v>697658</v>
      </c>
      <c r="K118" s="1"/>
      <c r="L118" s="1">
        <v>633119</v>
      </c>
      <c r="M118" s="1"/>
      <c r="N118" s="1">
        <v>1413669</v>
      </c>
      <c r="O118" s="1"/>
      <c r="P118" s="1">
        <v>0</v>
      </c>
      <c r="Q118" s="1"/>
      <c r="R118" s="1">
        <v>0</v>
      </c>
      <c r="S118" s="1"/>
      <c r="T118" s="1">
        <v>317166</v>
      </c>
      <c r="U118" s="1"/>
      <c r="V118" s="1">
        <v>0</v>
      </c>
      <c r="W118" s="1"/>
      <c r="X118" s="1">
        <v>0</v>
      </c>
      <c r="Y118" s="1"/>
      <c r="Z118" s="1">
        <v>34960</v>
      </c>
      <c r="AA118" s="1"/>
      <c r="AB118" s="1">
        <v>0</v>
      </c>
      <c r="AC118" s="1"/>
      <c r="AD118" s="1">
        <v>0</v>
      </c>
      <c r="AF118" s="4">
        <f t="shared" si="4"/>
        <v>8277476</v>
      </c>
    </row>
    <row r="119" spans="1:32" s="4" customFormat="1">
      <c r="A119" s="4">
        <v>59</v>
      </c>
      <c r="B119" s="4" t="s">
        <v>151</v>
      </c>
      <c r="D119" s="4" t="s">
        <v>79</v>
      </c>
      <c r="F119" s="76">
        <v>0</v>
      </c>
      <c r="G119" s="76"/>
      <c r="H119" s="76">
        <v>667272.86</v>
      </c>
      <c r="I119" s="76"/>
      <c r="J119" s="76">
        <v>0</v>
      </c>
      <c r="K119" s="76"/>
      <c r="L119" s="76">
        <v>0</v>
      </c>
      <c r="M119" s="76"/>
      <c r="N119" s="76">
        <v>0</v>
      </c>
      <c r="O119" s="76"/>
      <c r="P119" s="76">
        <v>0</v>
      </c>
      <c r="Q119" s="76"/>
      <c r="R119" s="76">
        <v>0</v>
      </c>
      <c r="S119" s="76"/>
      <c r="T119" s="76">
        <v>0</v>
      </c>
      <c r="U119" s="76"/>
      <c r="V119" s="76">
        <v>0</v>
      </c>
      <c r="W119" s="76"/>
      <c r="X119" s="76">
        <v>153708.76</v>
      </c>
      <c r="Y119" s="76"/>
      <c r="Z119" s="76">
        <v>0</v>
      </c>
      <c r="AA119" s="76"/>
      <c r="AB119" s="76">
        <v>0</v>
      </c>
      <c r="AC119" s="76"/>
      <c r="AD119" s="76">
        <v>0</v>
      </c>
      <c r="AE119" s="76"/>
      <c r="AF119" s="76">
        <f t="shared" si="4"/>
        <v>820981.62</v>
      </c>
    </row>
    <row r="120" spans="1:32" s="4" customFormat="1">
      <c r="A120" s="4">
        <v>92</v>
      </c>
      <c r="B120" s="4" t="s">
        <v>588</v>
      </c>
      <c r="D120" s="4" t="s">
        <v>152</v>
      </c>
      <c r="F120" s="1">
        <v>152270</v>
      </c>
      <c r="G120" s="1"/>
      <c r="H120" s="1">
        <v>676163</v>
      </c>
      <c r="I120" s="1"/>
      <c r="J120" s="1">
        <v>153593</v>
      </c>
      <c r="K120" s="1"/>
      <c r="L120" s="1">
        <v>208142</v>
      </c>
      <c r="M120" s="1"/>
      <c r="N120" s="1">
        <v>391529</v>
      </c>
      <c r="O120" s="1"/>
      <c r="P120" s="1">
        <v>0</v>
      </c>
      <c r="Q120" s="1"/>
      <c r="R120" s="1">
        <v>0</v>
      </c>
      <c r="S120" s="1"/>
      <c r="T120" s="1">
        <v>9532</v>
      </c>
      <c r="U120" s="1"/>
      <c r="V120" s="1">
        <v>0</v>
      </c>
      <c r="W120" s="1"/>
      <c r="X120" s="1">
        <v>0</v>
      </c>
      <c r="Y120" s="1"/>
      <c r="Z120" s="1">
        <v>111735</v>
      </c>
      <c r="AA120" s="1"/>
      <c r="AB120" s="1">
        <v>0</v>
      </c>
      <c r="AC120" s="1"/>
      <c r="AD120" s="1">
        <v>0</v>
      </c>
      <c r="AF120" s="4">
        <f t="shared" si="4"/>
        <v>1702964</v>
      </c>
    </row>
    <row r="121" spans="1:32" s="4" customFormat="1">
      <c r="A121" s="4">
        <v>12</v>
      </c>
      <c r="B121" s="4" t="s">
        <v>153</v>
      </c>
      <c r="D121" s="4" t="s">
        <v>41</v>
      </c>
      <c r="F121" s="6">
        <v>0</v>
      </c>
      <c r="G121" s="6"/>
      <c r="H121" s="6">
        <v>491131.67</v>
      </c>
      <c r="I121" s="6"/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0</v>
      </c>
      <c r="S121" s="6"/>
      <c r="T121" s="6">
        <v>572.66</v>
      </c>
      <c r="U121" s="6"/>
      <c r="V121" s="6">
        <v>87890.57</v>
      </c>
      <c r="W121" s="6"/>
      <c r="X121" s="6">
        <v>44065.78</v>
      </c>
      <c r="Y121" s="6"/>
      <c r="Z121" s="6">
        <v>152132.95000000001</v>
      </c>
      <c r="AA121" s="6"/>
      <c r="AB121" s="6">
        <v>0</v>
      </c>
      <c r="AC121" s="6"/>
      <c r="AD121" s="6">
        <v>0</v>
      </c>
      <c r="AE121" s="6"/>
      <c r="AF121" s="6">
        <f t="shared" si="4"/>
        <v>775793.62999999989</v>
      </c>
    </row>
    <row r="122" spans="1:32" s="4" customFormat="1">
      <c r="A122" s="4">
        <v>98</v>
      </c>
      <c r="B122" s="4" t="s">
        <v>154</v>
      </c>
      <c r="D122" s="4" t="s">
        <v>59</v>
      </c>
      <c r="F122" s="1">
        <v>10248</v>
      </c>
      <c r="G122" s="1"/>
      <c r="H122" s="1">
        <v>7989</v>
      </c>
      <c r="I122" s="1"/>
      <c r="J122" s="1">
        <v>0</v>
      </c>
      <c r="K122" s="1"/>
      <c r="L122" s="1">
        <v>9425</v>
      </c>
      <c r="M122" s="1"/>
      <c r="N122" s="1">
        <v>38911</v>
      </c>
      <c r="O122" s="1"/>
      <c r="P122" s="1">
        <v>0</v>
      </c>
      <c r="Q122" s="1"/>
      <c r="R122" s="1">
        <v>0</v>
      </c>
      <c r="S122" s="1"/>
      <c r="T122" s="1">
        <v>3620</v>
      </c>
      <c r="U122" s="1"/>
      <c r="V122" s="1">
        <v>0</v>
      </c>
      <c r="W122" s="1"/>
      <c r="X122" s="1">
        <v>0</v>
      </c>
      <c r="Y122" s="1"/>
      <c r="Z122" s="1">
        <v>0</v>
      </c>
      <c r="AA122" s="1"/>
      <c r="AB122" s="1">
        <v>0</v>
      </c>
      <c r="AC122" s="1"/>
      <c r="AD122" s="1">
        <v>0</v>
      </c>
      <c r="AF122" s="4">
        <f t="shared" si="4"/>
        <v>70193</v>
      </c>
    </row>
    <row r="123" spans="1:32" s="4" customFormat="1">
      <c r="A123" s="4">
        <v>181</v>
      </c>
      <c r="B123" s="4" t="s">
        <v>155</v>
      </c>
      <c r="D123" s="4" t="s">
        <v>156</v>
      </c>
      <c r="F123" s="1">
        <v>0</v>
      </c>
      <c r="G123" s="1"/>
      <c r="H123" s="1">
        <v>137548</v>
      </c>
      <c r="I123" s="1"/>
      <c r="J123" s="1">
        <v>49950</v>
      </c>
      <c r="K123" s="1"/>
      <c r="L123" s="1">
        <v>68983</v>
      </c>
      <c r="M123" s="1"/>
      <c r="N123" s="1">
        <v>205569</v>
      </c>
      <c r="O123" s="1"/>
      <c r="P123" s="1">
        <v>0</v>
      </c>
      <c r="Q123" s="1"/>
      <c r="R123" s="1">
        <v>0</v>
      </c>
      <c r="S123" s="1"/>
      <c r="T123" s="1">
        <v>16101</v>
      </c>
      <c r="U123" s="1"/>
      <c r="V123" s="1">
        <v>0</v>
      </c>
      <c r="W123" s="1"/>
      <c r="X123" s="1">
        <v>0</v>
      </c>
      <c r="Y123" s="1"/>
      <c r="Z123" s="1">
        <v>0</v>
      </c>
      <c r="AA123" s="1"/>
      <c r="AB123" s="1">
        <v>0</v>
      </c>
      <c r="AC123" s="1"/>
      <c r="AD123" s="1">
        <v>0</v>
      </c>
      <c r="AF123" s="4">
        <f t="shared" si="4"/>
        <v>478151</v>
      </c>
    </row>
    <row r="124" spans="1:32" s="4" customFormat="1">
      <c r="A124" s="4">
        <v>13</v>
      </c>
      <c r="B124" s="4" t="s">
        <v>303</v>
      </c>
      <c r="D124" s="4" t="s">
        <v>41</v>
      </c>
      <c r="F124" s="6">
        <v>0</v>
      </c>
      <c r="G124" s="6"/>
      <c r="H124" s="6">
        <v>341726.05</v>
      </c>
      <c r="I124" s="6"/>
      <c r="J124" s="6">
        <v>0</v>
      </c>
      <c r="K124" s="6"/>
      <c r="L124" s="6">
        <v>0</v>
      </c>
      <c r="M124" s="6"/>
      <c r="N124" s="6">
        <v>0</v>
      </c>
      <c r="O124" s="6"/>
      <c r="P124" s="6">
        <v>0</v>
      </c>
      <c r="Q124" s="6"/>
      <c r="R124" s="6">
        <v>0</v>
      </c>
      <c r="S124" s="6"/>
      <c r="T124" s="6">
        <v>1130.32</v>
      </c>
      <c r="U124" s="6"/>
      <c r="V124" s="6">
        <v>0</v>
      </c>
      <c r="W124" s="6"/>
      <c r="X124" s="6">
        <v>0</v>
      </c>
      <c r="Y124" s="6"/>
      <c r="Z124" s="6">
        <v>0</v>
      </c>
      <c r="AA124" s="6"/>
      <c r="AB124" s="6">
        <v>7825</v>
      </c>
      <c r="AC124" s="6"/>
      <c r="AD124" s="6">
        <v>0</v>
      </c>
      <c r="AE124" s="6"/>
      <c r="AF124" s="6">
        <f t="shared" si="4"/>
        <v>350681.37</v>
      </c>
    </row>
    <row r="125" spans="1:32" s="4" customFormat="1">
      <c r="A125" s="4">
        <v>239</v>
      </c>
      <c r="B125" s="4" t="s">
        <v>157</v>
      </c>
      <c r="D125" s="4" t="s">
        <v>158</v>
      </c>
      <c r="F125" s="1">
        <v>0</v>
      </c>
      <c r="G125" s="1"/>
      <c r="H125" s="1">
        <v>440529</v>
      </c>
      <c r="I125" s="1"/>
      <c r="J125" s="1">
        <v>0</v>
      </c>
      <c r="K125" s="1"/>
      <c r="L125" s="1">
        <v>0</v>
      </c>
      <c r="M125" s="1"/>
      <c r="N125" s="1">
        <v>0</v>
      </c>
      <c r="O125" s="1"/>
      <c r="P125" s="1">
        <v>0</v>
      </c>
      <c r="Q125" s="1"/>
      <c r="R125" s="1">
        <v>0</v>
      </c>
      <c r="S125" s="1"/>
      <c r="T125" s="1">
        <v>13158</v>
      </c>
      <c r="U125" s="1"/>
      <c r="V125" s="1">
        <v>0</v>
      </c>
      <c r="W125" s="1"/>
      <c r="X125" s="1">
        <v>0</v>
      </c>
      <c r="Y125" s="1"/>
      <c r="Z125" s="1">
        <v>0</v>
      </c>
      <c r="AA125" s="1"/>
      <c r="AB125" s="1">
        <v>0</v>
      </c>
      <c r="AC125" s="1"/>
      <c r="AD125" s="1">
        <v>0</v>
      </c>
      <c r="AF125" s="4">
        <f t="shared" ref="AF125:AF160" si="5">SUM(F125:AD125)</f>
        <v>453687</v>
      </c>
    </row>
    <row r="126" spans="1:32" s="4" customFormat="1">
      <c r="A126" s="4">
        <v>144</v>
      </c>
      <c r="B126" s="4" t="s">
        <v>451</v>
      </c>
      <c r="D126" s="4" t="s">
        <v>55</v>
      </c>
      <c r="F126" s="6">
        <v>19800.13</v>
      </c>
      <c r="G126" s="6"/>
      <c r="H126" s="6">
        <v>331678</v>
      </c>
      <c r="I126" s="6"/>
      <c r="J126" s="6">
        <v>56262.83</v>
      </c>
      <c r="K126" s="6"/>
      <c r="L126" s="6">
        <v>39866.15</v>
      </c>
      <c r="M126" s="6"/>
      <c r="N126" s="6">
        <v>38672.870000000003</v>
      </c>
      <c r="O126" s="6"/>
      <c r="P126" s="6">
        <v>0</v>
      </c>
      <c r="Q126" s="6"/>
      <c r="R126" s="6">
        <v>0</v>
      </c>
      <c r="S126" s="6"/>
      <c r="T126" s="6">
        <v>17700.96</v>
      </c>
      <c r="U126" s="6"/>
      <c r="V126" s="6">
        <v>0</v>
      </c>
      <c r="W126" s="6"/>
      <c r="X126" s="6">
        <v>0</v>
      </c>
      <c r="Y126" s="6"/>
      <c r="Z126" s="6">
        <v>5025</v>
      </c>
      <c r="AA126" s="6"/>
      <c r="AB126" s="6">
        <v>0</v>
      </c>
      <c r="AC126" s="6"/>
      <c r="AD126" s="6">
        <v>0</v>
      </c>
      <c r="AE126" s="6"/>
      <c r="AF126" s="6">
        <f t="shared" si="5"/>
        <v>509005.94000000006</v>
      </c>
    </row>
    <row r="127" spans="1:32" s="4" customFormat="1">
      <c r="A127" s="4">
        <v>107</v>
      </c>
      <c r="B127" s="4" t="s">
        <v>605</v>
      </c>
      <c r="D127" s="4" t="s">
        <v>56</v>
      </c>
      <c r="F127" s="6">
        <v>0</v>
      </c>
      <c r="G127" s="6"/>
      <c r="H127" s="6">
        <v>1169504.31</v>
      </c>
      <c r="I127" s="6"/>
      <c r="J127" s="6">
        <v>0</v>
      </c>
      <c r="K127" s="6"/>
      <c r="L127" s="6">
        <v>0</v>
      </c>
      <c r="M127" s="6"/>
      <c r="N127" s="6">
        <v>0</v>
      </c>
      <c r="O127" s="6"/>
      <c r="P127" s="6">
        <v>0</v>
      </c>
      <c r="Q127" s="6"/>
      <c r="R127" s="6">
        <v>0</v>
      </c>
      <c r="S127" s="6"/>
      <c r="T127" s="6">
        <v>20354.8</v>
      </c>
      <c r="U127" s="6"/>
      <c r="V127" s="6">
        <v>0</v>
      </c>
      <c r="W127" s="6"/>
      <c r="X127" s="6">
        <v>0</v>
      </c>
      <c r="Y127" s="6"/>
      <c r="Z127" s="6">
        <v>0</v>
      </c>
      <c r="AA127" s="6"/>
      <c r="AB127" s="6">
        <v>0</v>
      </c>
      <c r="AC127" s="6"/>
      <c r="AD127" s="6">
        <v>0</v>
      </c>
      <c r="AE127" s="6"/>
      <c r="AF127" s="6">
        <f t="shared" si="5"/>
        <v>1189859.1100000001</v>
      </c>
    </row>
    <row r="128" spans="1:32" s="4" customFormat="1" hidden="1">
      <c r="A128" s="4">
        <v>103</v>
      </c>
      <c r="B128" s="4" t="s">
        <v>160</v>
      </c>
      <c r="D128" s="4" t="s">
        <v>58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F128" s="4">
        <f t="shared" si="5"/>
        <v>0</v>
      </c>
    </row>
    <row r="129" spans="1:32" s="4" customFormat="1">
      <c r="A129" s="4">
        <v>109</v>
      </c>
      <c r="B129" s="4" t="s">
        <v>589</v>
      </c>
      <c r="D129" s="4" t="s">
        <v>161</v>
      </c>
      <c r="F129" s="6">
        <v>0</v>
      </c>
      <c r="G129" s="6"/>
      <c r="H129" s="6">
        <v>1025777.85</v>
      </c>
      <c r="I129" s="6"/>
      <c r="J129" s="6">
        <v>0</v>
      </c>
      <c r="K129" s="6"/>
      <c r="L129" s="6">
        <v>0</v>
      </c>
      <c r="M129" s="6"/>
      <c r="N129" s="6">
        <v>0</v>
      </c>
      <c r="O129" s="6"/>
      <c r="P129" s="6">
        <v>0</v>
      </c>
      <c r="Q129" s="6"/>
      <c r="R129" s="6">
        <v>0</v>
      </c>
      <c r="S129" s="6"/>
      <c r="T129" s="6">
        <v>18048.53</v>
      </c>
      <c r="U129" s="6"/>
      <c r="V129" s="6">
        <v>0</v>
      </c>
      <c r="W129" s="6"/>
      <c r="X129" s="6">
        <v>0</v>
      </c>
      <c r="Y129" s="6"/>
      <c r="Z129" s="6">
        <v>25000</v>
      </c>
      <c r="AA129" s="6"/>
      <c r="AB129" s="6">
        <v>8782</v>
      </c>
      <c r="AC129" s="6"/>
      <c r="AD129" s="6">
        <v>0</v>
      </c>
      <c r="AE129" s="6"/>
      <c r="AF129" s="6">
        <f t="shared" si="5"/>
        <v>1077608.3799999999</v>
      </c>
    </row>
    <row r="130" spans="1:32" s="4" customFormat="1">
      <c r="A130" s="4">
        <v>133</v>
      </c>
      <c r="B130" s="4" t="s">
        <v>304</v>
      </c>
      <c r="D130" s="4" t="s">
        <v>39</v>
      </c>
      <c r="F130" s="6">
        <v>0</v>
      </c>
      <c r="G130" s="6"/>
      <c r="H130" s="6">
        <v>180971.98</v>
      </c>
      <c r="I130" s="6"/>
      <c r="J130" s="6">
        <v>0</v>
      </c>
      <c r="K130" s="6"/>
      <c r="L130" s="6">
        <v>0</v>
      </c>
      <c r="M130" s="6"/>
      <c r="N130" s="6">
        <v>0</v>
      </c>
      <c r="O130" s="6"/>
      <c r="P130" s="6">
        <v>0</v>
      </c>
      <c r="Q130" s="6"/>
      <c r="R130" s="6">
        <v>0</v>
      </c>
      <c r="S130" s="6"/>
      <c r="T130" s="6">
        <v>1372</v>
      </c>
      <c r="U130" s="6"/>
      <c r="V130" s="6">
        <v>0</v>
      </c>
      <c r="W130" s="6"/>
      <c r="X130" s="6">
        <v>0</v>
      </c>
      <c r="Y130" s="6"/>
      <c r="Z130" s="6">
        <v>0</v>
      </c>
      <c r="AA130" s="6"/>
      <c r="AB130" s="6">
        <v>0</v>
      </c>
      <c r="AC130" s="6"/>
      <c r="AD130" s="6">
        <v>0</v>
      </c>
      <c r="AE130" s="6"/>
      <c r="AF130" s="6">
        <f t="shared" si="5"/>
        <v>182343.98</v>
      </c>
    </row>
    <row r="131" spans="1:32" s="4" customFormat="1">
      <c r="A131" s="4">
        <v>225</v>
      </c>
      <c r="B131" s="4" t="s">
        <v>452</v>
      </c>
      <c r="D131" s="4" t="s">
        <v>54</v>
      </c>
      <c r="F131" s="76">
        <v>450</v>
      </c>
      <c r="G131" s="76"/>
      <c r="H131" s="76">
        <v>880003.27</v>
      </c>
      <c r="I131" s="76"/>
      <c r="J131" s="76">
        <v>0</v>
      </c>
      <c r="K131" s="76"/>
      <c r="L131" s="76">
        <v>0</v>
      </c>
      <c r="M131" s="76"/>
      <c r="N131" s="76">
        <v>0</v>
      </c>
      <c r="O131" s="76"/>
      <c r="P131" s="76">
        <v>0</v>
      </c>
      <c r="Q131" s="76"/>
      <c r="R131" s="76">
        <v>0</v>
      </c>
      <c r="S131" s="76"/>
      <c r="T131" s="76">
        <v>50281.41</v>
      </c>
      <c r="U131" s="76"/>
      <c r="V131" s="76">
        <v>0</v>
      </c>
      <c r="W131" s="76"/>
      <c r="X131" s="76">
        <v>0</v>
      </c>
      <c r="Y131" s="76"/>
      <c r="Z131" s="76">
        <v>147248.10999999999</v>
      </c>
      <c r="AA131" s="76"/>
      <c r="AB131" s="76">
        <v>0</v>
      </c>
      <c r="AC131" s="76"/>
      <c r="AD131" s="76">
        <v>0</v>
      </c>
      <c r="AE131" s="76"/>
      <c r="AF131" s="76">
        <f t="shared" si="5"/>
        <v>1077982.79</v>
      </c>
    </row>
    <row r="132" spans="1:32" s="4" customFormat="1" hidden="1">
      <c r="A132" s="4">
        <v>218</v>
      </c>
      <c r="B132" s="4" t="s">
        <v>333</v>
      </c>
      <c r="D132" s="4" t="s">
        <v>20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F132" s="4">
        <f t="shared" si="5"/>
        <v>0</v>
      </c>
    </row>
    <row r="133" spans="1:32" s="4" customFormat="1">
      <c r="A133" s="4">
        <v>66</v>
      </c>
      <c r="B133" s="4" t="s">
        <v>164</v>
      </c>
      <c r="D133" s="4" t="s">
        <v>165</v>
      </c>
      <c r="F133" s="6">
        <v>0</v>
      </c>
      <c r="G133" s="6"/>
      <c r="H133" s="6">
        <v>411327</v>
      </c>
      <c r="I133" s="6"/>
      <c r="J133" s="6">
        <v>88047.06</v>
      </c>
      <c r="K133" s="6"/>
      <c r="L133" s="6">
        <v>72494.11</v>
      </c>
      <c r="M133" s="6"/>
      <c r="N133" s="6">
        <v>15106.12</v>
      </c>
      <c r="O133" s="6"/>
      <c r="P133" s="6">
        <v>0</v>
      </c>
      <c r="Q133" s="6"/>
      <c r="R133" s="6">
        <v>0</v>
      </c>
      <c r="S133" s="6"/>
      <c r="T133" s="6">
        <v>13576.11</v>
      </c>
      <c r="U133" s="6"/>
      <c r="V133" s="6">
        <v>0</v>
      </c>
      <c r="W133" s="6"/>
      <c r="X133" s="6">
        <v>0</v>
      </c>
      <c r="Y133" s="6"/>
      <c r="Z133" s="6">
        <v>0</v>
      </c>
      <c r="AA133" s="6"/>
      <c r="AB133" s="6">
        <v>4400</v>
      </c>
      <c r="AC133" s="6"/>
      <c r="AD133" s="6">
        <v>6.5</v>
      </c>
      <c r="AE133" s="6"/>
      <c r="AF133" s="6">
        <f t="shared" si="5"/>
        <v>604956.9</v>
      </c>
    </row>
    <row r="134" spans="1:32" s="4" customFormat="1">
      <c r="A134" s="4">
        <v>148</v>
      </c>
      <c r="B134" s="4" t="s">
        <v>35</v>
      </c>
      <c r="D134" s="4" t="s">
        <v>10</v>
      </c>
      <c r="F134" s="6">
        <v>235298</v>
      </c>
      <c r="G134" s="6"/>
      <c r="H134" s="6">
        <v>197697.02</v>
      </c>
      <c r="I134" s="6"/>
      <c r="J134" s="6">
        <v>0</v>
      </c>
      <c r="K134" s="6"/>
      <c r="L134" s="6">
        <v>0</v>
      </c>
      <c r="M134" s="6"/>
      <c r="N134" s="6">
        <v>0</v>
      </c>
      <c r="O134" s="6"/>
      <c r="P134" s="6">
        <v>0</v>
      </c>
      <c r="Q134" s="6"/>
      <c r="R134" s="6">
        <v>0</v>
      </c>
      <c r="S134" s="6"/>
      <c r="T134" s="6">
        <v>0</v>
      </c>
      <c r="U134" s="6"/>
      <c r="V134" s="6">
        <v>30000</v>
      </c>
      <c r="W134" s="6"/>
      <c r="X134" s="6">
        <v>48230</v>
      </c>
      <c r="Y134" s="6"/>
      <c r="Z134" s="6">
        <v>0</v>
      </c>
      <c r="AA134" s="6"/>
      <c r="AB134" s="6">
        <v>0</v>
      </c>
      <c r="AC134" s="6"/>
      <c r="AD134" s="6">
        <v>0</v>
      </c>
      <c r="AE134" s="6"/>
      <c r="AF134" s="6">
        <f t="shared" si="5"/>
        <v>511225.02</v>
      </c>
    </row>
    <row r="135" spans="1:32" s="4" customFormat="1">
      <c r="A135" s="4">
        <v>182</v>
      </c>
      <c r="B135" s="4" t="s">
        <v>166</v>
      </c>
      <c r="D135" s="4" t="s">
        <v>156</v>
      </c>
      <c r="F135" s="1">
        <v>3393</v>
      </c>
      <c r="G135" s="1"/>
      <c r="H135" s="1">
        <v>26806</v>
      </c>
      <c r="I135" s="1"/>
      <c r="J135" s="1">
        <v>179883</v>
      </c>
      <c r="K135" s="1"/>
      <c r="L135" s="1">
        <v>118820</v>
      </c>
      <c r="M135" s="1"/>
      <c r="N135" s="1">
        <v>542532</v>
      </c>
      <c r="O135" s="1"/>
      <c r="P135" s="1">
        <v>0</v>
      </c>
      <c r="Q135" s="1"/>
      <c r="R135" s="1">
        <v>0</v>
      </c>
      <c r="S135" s="1"/>
      <c r="T135" s="1">
        <v>52480</v>
      </c>
      <c r="U135" s="1"/>
      <c r="V135" s="1">
        <v>0</v>
      </c>
      <c r="W135" s="1"/>
      <c r="X135" s="1">
        <v>0</v>
      </c>
      <c r="Y135" s="1"/>
      <c r="Z135" s="1">
        <v>0</v>
      </c>
      <c r="AA135" s="1"/>
      <c r="AB135" s="1">
        <v>0</v>
      </c>
      <c r="AC135" s="1"/>
      <c r="AD135" s="1">
        <v>0</v>
      </c>
      <c r="AF135" s="4">
        <f t="shared" si="5"/>
        <v>923914</v>
      </c>
    </row>
    <row r="136" spans="1:32" s="4" customFormat="1">
      <c r="A136" s="4">
        <v>164</v>
      </c>
      <c r="B136" s="4" t="s">
        <v>335</v>
      </c>
      <c r="D136" s="4" t="s">
        <v>51</v>
      </c>
      <c r="F136" s="76">
        <v>0</v>
      </c>
      <c r="G136" s="76"/>
      <c r="H136" s="76">
        <v>214711.69</v>
      </c>
      <c r="I136" s="76"/>
      <c r="J136" s="76">
        <v>0</v>
      </c>
      <c r="K136" s="76"/>
      <c r="L136" s="76">
        <v>0</v>
      </c>
      <c r="M136" s="76"/>
      <c r="N136" s="76">
        <v>0</v>
      </c>
      <c r="O136" s="76"/>
      <c r="P136" s="76">
        <v>0</v>
      </c>
      <c r="Q136" s="76"/>
      <c r="R136" s="76">
        <v>0</v>
      </c>
      <c r="S136" s="76"/>
      <c r="T136" s="76">
        <v>3669.12</v>
      </c>
      <c r="U136" s="76"/>
      <c r="V136" s="76">
        <v>0</v>
      </c>
      <c r="W136" s="76"/>
      <c r="X136" s="76">
        <v>0</v>
      </c>
      <c r="Y136" s="76"/>
      <c r="Z136" s="76">
        <v>0</v>
      </c>
      <c r="AA136" s="76"/>
      <c r="AB136" s="76">
        <v>0</v>
      </c>
      <c r="AC136" s="76"/>
      <c r="AD136" s="76">
        <v>0</v>
      </c>
      <c r="AE136" s="76"/>
      <c r="AF136" s="76">
        <f t="shared" si="5"/>
        <v>218380.81</v>
      </c>
    </row>
    <row r="137" spans="1:32" s="4" customFormat="1">
      <c r="A137" s="4">
        <v>115</v>
      </c>
      <c r="B137" s="4" t="s">
        <v>167</v>
      </c>
      <c r="D137" s="4" t="s">
        <v>168</v>
      </c>
      <c r="F137" s="6">
        <v>0</v>
      </c>
      <c r="G137" s="6"/>
      <c r="H137" s="6">
        <v>396100.61</v>
      </c>
      <c r="I137" s="6"/>
      <c r="J137" s="6">
        <v>0</v>
      </c>
      <c r="K137" s="6"/>
      <c r="L137" s="6">
        <v>0</v>
      </c>
      <c r="M137" s="6"/>
      <c r="N137" s="6">
        <v>0</v>
      </c>
      <c r="O137" s="6"/>
      <c r="P137" s="6">
        <v>0</v>
      </c>
      <c r="Q137" s="6"/>
      <c r="R137" s="6">
        <v>0</v>
      </c>
      <c r="S137" s="6"/>
      <c r="T137" s="6">
        <v>24544.87</v>
      </c>
      <c r="U137" s="6"/>
      <c r="V137" s="6">
        <v>0</v>
      </c>
      <c r="W137" s="6"/>
      <c r="X137" s="6">
        <v>0</v>
      </c>
      <c r="Y137" s="6"/>
      <c r="Z137" s="6">
        <v>0</v>
      </c>
      <c r="AA137" s="6"/>
      <c r="AB137" s="6">
        <v>0</v>
      </c>
      <c r="AC137" s="6"/>
      <c r="AD137" s="6">
        <v>0</v>
      </c>
      <c r="AE137" s="6"/>
      <c r="AF137" s="6">
        <f t="shared" si="5"/>
        <v>420645.48</v>
      </c>
    </row>
    <row r="138" spans="1:32" s="4" customFormat="1">
      <c r="A138" s="4">
        <v>173</v>
      </c>
      <c r="B138" s="4" t="s">
        <v>334</v>
      </c>
      <c r="D138" s="4" t="s">
        <v>57</v>
      </c>
      <c r="F138" s="6">
        <v>0</v>
      </c>
      <c r="G138" s="6"/>
      <c r="H138" s="6">
        <v>558403.31999999995</v>
      </c>
      <c r="I138" s="6"/>
      <c r="J138" s="6">
        <v>0</v>
      </c>
      <c r="K138" s="6"/>
      <c r="L138" s="6">
        <v>0</v>
      </c>
      <c r="M138" s="6"/>
      <c r="N138" s="6">
        <v>0</v>
      </c>
      <c r="O138" s="6"/>
      <c r="P138" s="6">
        <v>0</v>
      </c>
      <c r="Q138" s="6"/>
      <c r="R138" s="6">
        <v>0</v>
      </c>
      <c r="S138" s="6"/>
      <c r="T138" s="6">
        <v>43212.98</v>
      </c>
      <c r="U138" s="6"/>
      <c r="V138" s="6">
        <v>0</v>
      </c>
      <c r="W138" s="6"/>
      <c r="X138" s="6">
        <v>0</v>
      </c>
      <c r="Y138" s="6"/>
      <c r="Z138" s="6">
        <v>0</v>
      </c>
      <c r="AA138" s="6"/>
      <c r="AB138" s="6">
        <v>0</v>
      </c>
      <c r="AC138" s="6"/>
      <c r="AD138" s="6">
        <v>0</v>
      </c>
      <c r="AE138" s="6"/>
      <c r="AF138" s="6">
        <f t="shared" si="5"/>
        <v>601616.29999999993</v>
      </c>
    </row>
    <row r="139" spans="1:32" s="4" customFormat="1">
      <c r="A139" s="4">
        <v>205</v>
      </c>
      <c r="B139" s="4" t="s">
        <v>169</v>
      </c>
      <c r="D139" s="4" t="s">
        <v>43</v>
      </c>
      <c r="F139" s="1">
        <v>71314.28</v>
      </c>
      <c r="G139" s="1"/>
      <c r="H139" s="1">
        <f>72975.88+420375</f>
        <v>493350.88</v>
      </c>
      <c r="I139" s="1"/>
      <c r="J139" s="1">
        <v>0</v>
      </c>
      <c r="K139" s="1"/>
      <c r="L139" s="1">
        <v>0</v>
      </c>
      <c r="M139" s="1"/>
      <c r="N139" s="1">
        <v>0</v>
      </c>
      <c r="O139" s="1"/>
      <c r="P139" s="1">
        <v>20206.95</v>
      </c>
      <c r="Q139" s="1"/>
      <c r="R139" s="1">
        <v>2938.14</v>
      </c>
      <c r="S139" s="1"/>
      <c r="T139" s="1">
        <v>2349.5100000000002</v>
      </c>
      <c r="U139" s="1"/>
      <c r="V139" s="1">
        <v>0</v>
      </c>
      <c r="W139" s="1"/>
      <c r="X139" s="1">
        <v>0</v>
      </c>
      <c r="Y139" s="1"/>
      <c r="Z139" s="1">
        <v>0</v>
      </c>
      <c r="AA139" s="1"/>
      <c r="AB139" s="1">
        <v>0</v>
      </c>
      <c r="AC139" s="1"/>
      <c r="AD139" s="1">
        <v>0</v>
      </c>
      <c r="AF139" s="4">
        <f t="shared" si="5"/>
        <v>590159.76</v>
      </c>
    </row>
    <row r="140" spans="1:32" s="4" customFormat="1">
      <c r="A140" s="4">
        <v>191</v>
      </c>
      <c r="B140" s="4" t="s">
        <v>170</v>
      </c>
      <c r="D140" s="4" t="s">
        <v>171</v>
      </c>
      <c r="F140" s="76">
        <v>0</v>
      </c>
      <c r="G140" s="76"/>
      <c r="H140" s="76">
        <v>1379671.81</v>
      </c>
      <c r="I140" s="76"/>
      <c r="J140" s="76">
        <v>0</v>
      </c>
      <c r="K140" s="76"/>
      <c r="L140" s="76">
        <v>0</v>
      </c>
      <c r="M140" s="76"/>
      <c r="N140" s="76">
        <v>0</v>
      </c>
      <c r="O140" s="76"/>
      <c r="P140" s="76">
        <v>0</v>
      </c>
      <c r="Q140" s="76"/>
      <c r="R140" s="76">
        <v>0</v>
      </c>
      <c r="S140" s="76"/>
      <c r="T140" s="76">
        <v>176668.28</v>
      </c>
      <c r="U140" s="76"/>
      <c r="V140" s="76">
        <v>0</v>
      </c>
      <c r="W140" s="76"/>
      <c r="X140" s="76">
        <v>0</v>
      </c>
      <c r="Y140" s="76"/>
      <c r="Z140" s="76">
        <v>0</v>
      </c>
      <c r="AA140" s="76"/>
      <c r="AB140" s="76">
        <v>0</v>
      </c>
      <c r="AC140" s="76"/>
      <c r="AD140" s="76">
        <v>0</v>
      </c>
      <c r="AE140" s="76"/>
      <c r="AF140" s="76">
        <f t="shared" si="5"/>
        <v>1556340.09</v>
      </c>
    </row>
    <row r="141" spans="1:32" s="4" customFormat="1">
      <c r="A141" s="4">
        <v>14</v>
      </c>
      <c r="B141" s="4" t="s">
        <v>172</v>
      </c>
      <c r="D141" s="4" t="s">
        <v>41</v>
      </c>
      <c r="F141" s="6">
        <v>0</v>
      </c>
      <c r="G141" s="6"/>
      <c r="H141" s="6">
        <v>351816.97</v>
      </c>
      <c r="I141" s="6"/>
      <c r="J141" s="6">
        <v>0</v>
      </c>
      <c r="K141" s="6"/>
      <c r="L141" s="6">
        <v>0</v>
      </c>
      <c r="M141" s="6"/>
      <c r="N141" s="6">
        <v>0</v>
      </c>
      <c r="O141" s="6"/>
      <c r="P141" s="6">
        <v>0</v>
      </c>
      <c r="Q141" s="6"/>
      <c r="R141" s="6">
        <v>0</v>
      </c>
      <c r="S141" s="6"/>
      <c r="T141" s="6">
        <v>6157.59</v>
      </c>
      <c r="U141" s="6"/>
      <c r="V141" s="6">
        <v>0</v>
      </c>
      <c r="W141" s="6"/>
      <c r="X141" s="6">
        <v>0</v>
      </c>
      <c r="Y141" s="6"/>
      <c r="Z141" s="6">
        <v>0</v>
      </c>
      <c r="AA141" s="6"/>
      <c r="AB141" s="6">
        <v>0</v>
      </c>
      <c r="AC141" s="6"/>
      <c r="AD141" s="6">
        <v>150</v>
      </c>
      <c r="AE141" s="6"/>
      <c r="AF141" s="6">
        <f t="shared" si="5"/>
        <v>358124.56</v>
      </c>
    </row>
    <row r="142" spans="1:32" s="4" customFormat="1">
      <c r="A142" s="4">
        <v>226</v>
      </c>
      <c r="B142" s="4" t="s">
        <v>173</v>
      </c>
      <c r="D142" s="4" t="s">
        <v>54</v>
      </c>
      <c r="F142" s="6">
        <v>0</v>
      </c>
      <c r="G142" s="6"/>
      <c r="H142" s="6">
        <v>480626.04</v>
      </c>
      <c r="I142" s="6"/>
      <c r="J142" s="6">
        <v>0</v>
      </c>
      <c r="K142" s="6"/>
      <c r="L142" s="6">
        <v>0</v>
      </c>
      <c r="M142" s="6"/>
      <c r="N142" s="6">
        <v>0</v>
      </c>
      <c r="O142" s="6"/>
      <c r="P142" s="6">
        <v>0</v>
      </c>
      <c r="Q142" s="6"/>
      <c r="R142" s="6">
        <v>0</v>
      </c>
      <c r="S142" s="6"/>
      <c r="T142" s="6">
        <v>27696.58</v>
      </c>
      <c r="U142" s="6"/>
      <c r="V142" s="6">
        <v>0</v>
      </c>
      <c r="W142" s="6"/>
      <c r="X142" s="6">
        <v>0</v>
      </c>
      <c r="Y142" s="6"/>
      <c r="Z142" s="6">
        <v>0</v>
      </c>
      <c r="AA142" s="6"/>
      <c r="AB142" s="6">
        <v>0</v>
      </c>
      <c r="AC142" s="6"/>
      <c r="AD142" s="6">
        <v>0</v>
      </c>
      <c r="AE142" s="6"/>
      <c r="AF142" s="6">
        <f t="shared" si="5"/>
        <v>508322.62</v>
      </c>
    </row>
    <row r="143" spans="1:32" s="4" customFormat="1">
      <c r="A143" s="4">
        <v>124</v>
      </c>
      <c r="B143" s="4" t="s">
        <v>174</v>
      </c>
      <c r="D143" s="4" t="s">
        <v>13</v>
      </c>
      <c r="F143" s="6">
        <v>0</v>
      </c>
      <c r="G143" s="6"/>
      <c r="H143" s="6">
        <v>828535.4</v>
      </c>
      <c r="I143" s="6"/>
      <c r="J143" s="6">
        <v>0</v>
      </c>
      <c r="K143" s="6"/>
      <c r="L143" s="6">
        <v>0</v>
      </c>
      <c r="M143" s="6"/>
      <c r="N143" s="6">
        <v>0</v>
      </c>
      <c r="O143" s="6"/>
      <c r="P143" s="6">
        <v>0</v>
      </c>
      <c r="Q143" s="6"/>
      <c r="R143" s="6">
        <v>0</v>
      </c>
      <c r="S143" s="6"/>
      <c r="T143" s="6">
        <v>47315.1</v>
      </c>
      <c r="U143" s="6"/>
      <c r="V143" s="6">
        <v>0</v>
      </c>
      <c r="W143" s="6"/>
      <c r="X143" s="6">
        <v>0</v>
      </c>
      <c r="Y143" s="6"/>
      <c r="Z143" s="6">
        <v>60000</v>
      </c>
      <c r="AA143" s="6"/>
      <c r="AB143" s="6">
        <v>0</v>
      </c>
      <c r="AC143" s="6"/>
      <c r="AD143" s="6">
        <v>0</v>
      </c>
      <c r="AE143" s="6"/>
      <c r="AF143" s="6">
        <f t="shared" si="5"/>
        <v>935850.5</v>
      </c>
    </row>
    <row r="144" spans="1:32" s="4" customFormat="1">
      <c r="A144" s="4">
        <v>54</v>
      </c>
      <c r="B144" s="15" t="s">
        <v>431</v>
      </c>
      <c r="C144" s="15"/>
      <c r="D144" s="15" t="s">
        <v>17</v>
      </c>
      <c r="E144" s="15"/>
      <c r="F144" s="1">
        <v>0</v>
      </c>
      <c r="G144" s="1"/>
      <c r="H144" s="1">
        <v>116900</v>
      </c>
      <c r="I144" s="1"/>
      <c r="J144" s="1">
        <v>1255628</v>
      </c>
      <c r="K144" s="1"/>
      <c r="L144" s="1">
        <v>1216787</v>
      </c>
      <c r="M144" s="1"/>
      <c r="N144" s="1">
        <v>631573</v>
      </c>
      <c r="O144" s="1"/>
      <c r="P144" s="1">
        <v>313907</v>
      </c>
      <c r="Q144" s="1"/>
      <c r="R144" s="1">
        <v>0</v>
      </c>
      <c r="S144" s="1"/>
      <c r="T144" s="1">
        <v>0</v>
      </c>
      <c r="U144" s="1"/>
      <c r="V144" s="1">
        <v>30163</v>
      </c>
      <c r="W144" s="1"/>
      <c r="X144" s="1">
        <v>0</v>
      </c>
      <c r="Y144" s="1"/>
      <c r="Z144" s="1">
        <v>0</v>
      </c>
      <c r="AA144" s="1"/>
      <c r="AB144" s="1">
        <v>171971</v>
      </c>
      <c r="AC144" s="1"/>
      <c r="AD144" s="1">
        <v>0</v>
      </c>
      <c r="AE144" s="15"/>
      <c r="AF144" s="4">
        <f t="shared" si="5"/>
        <v>3736929</v>
      </c>
    </row>
    <row r="145" spans="1:32" s="4" customFormat="1">
      <c r="A145" s="4">
        <v>25</v>
      </c>
      <c r="B145" s="4" t="s">
        <v>7</v>
      </c>
      <c r="D145" s="4" t="s">
        <v>8</v>
      </c>
      <c r="F145" s="1">
        <v>207245</v>
      </c>
      <c r="G145" s="1"/>
      <c r="H145" s="1">
        <v>1833859</v>
      </c>
      <c r="I145" s="1"/>
      <c r="J145" s="1">
        <v>1606561</v>
      </c>
      <c r="K145" s="1"/>
      <c r="L145" s="1">
        <v>598681</v>
      </c>
      <c r="M145" s="1"/>
      <c r="N145" s="1">
        <v>726876</v>
      </c>
      <c r="O145" s="1"/>
      <c r="P145" s="1">
        <v>0</v>
      </c>
      <c r="Q145" s="1"/>
      <c r="R145" s="1">
        <v>0</v>
      </c>
      <c r="S145" s="1"/>
      <c r="T145" s="1">
        <v>382445</v>
      </c>
      <c r="U145" s="1"/>
      <c r="V145" s="1">
        <v>0</v>
      </c>
      <c r="W145" s="1"/>
      <c r="X145" s="1">
        <v>0</v>
      </c>
      <c r="Y145" s="1"/>
      <c r="Z145" s="1">
        <v>2200000</v>
      </c>
      <c r="AA145" s="1"/>
      <c r="AB145" s="1">
        <v>0</v>
      </c>
      <c r="AC145" s="1"/>
      <c r="AD145" s="1">
        <v>0</v>
      </c>
      <c r="AF145" s="4">
        <f t="shared" si="5"/>
        <v>7555667</v>
      </c>
    </row>
    <row r="146" spans="1:32" s="4" customFormat="1">
      <c r="A146" s="4">
        <v>241</v>
      </c>
      <c r="B146" s="4" t="s">
        <v>175</v>
      </c>
      <c r="D146" s="4" t="s">
        <v>52</v>
      </c>
      <c r="F146" s="6">
        <v>0</v>
      </c>
      <c r="G146" s="6"/>
      <c r="H146" s="6">
        <v>1106605.48</v>
      </c>
      <c r="I146" s="6"/>
      <c r="J146" s="6">
        <v>0</v>
      </c>
      <c r="K146" s="6"/>
      <c r="L146" s="6">
        <v>0</v>
      </c>
      <c r="M146" s="6"/>
      <c r="N146" s="6">
        <v>0</v>
      </c>
      <c r="O146" s="6"/>
      <c r="P146" s="6">
        <v>0</v>
      </c>
      <c r="Q146" s="6"/>
      <c r="R146" s="6">
        <v>0</v>
      </c>
      <c r="S146" s="6"/>
      <c r="T146" s="6">
        <v>36515.06</v>
      </c>
      <c r="U146" s="6"/>
      <c r="V146" s="6">
        <v>0</v>
      </c>
      <c r="W146" s="6"/>
      <c r="X146" s="6">
        <v>0</v>
      </c>
      <c r="Y146" s="6"/>
      <c r="Z146" s="6">
        <v>0</v>
      </c>
      <c r="AA146" s="6"/>
      <c r="AB146" s="6">
        <v>0</v>
      </c>
      <c r="AC146" s="6"/>
      <c r="AD146" s="6">
        <v>15566.73</v>
      </c>
      <c r="AE146" s="6"/>
      <c r="AF146" s="6">
        <f t="shared" si="5"/>
        <v>1158687.27</v>
      </c>
    </row>
    <row r="147" spans="1:32" s="4" customFormat="1">
      <c r="A147" s="4">
        <v>41</v>
      </c>
      <c r="B147" s="4" t="s">
        <v>305</v>
      </c>
      <c r="D147" s="4" t="s">
        <v>49</v>
      </c>
      <c r="F147" s="6">
        <v>0</v>
      </c>
      <c r="G147" s="6"/>
      <c r="H147" s="6">
        <v>216495.88</v>
      </c>
      <c r="I147" s="6"/>
      <c r="J147" s="6">
        <v>0</v>
      </c>
      <c r="K147" s="6"/>
      <c r="L147" s="6">
        <v>0</v>
      </c>
      <c r="M147" s="6"/>
      <c r="N147" s="6">
        <v>0</v>
      </c>
      <c r="O147" s="6"/>
      <c r="P147" s="6">
        <v>0</v>
      </c>
      <c r="Q147" s="6"/>
      <c r="R147" s="6">
        <v>0</v>
      </c>
      <c r="S147" s="6"/>
      <c r="T147" s="6">
        <v>919.71</v>
      </c>
      <c r="U147" s="6"/>
      <c r="V147" s="6">
        <v>19300</v>
      </c>
      <c r="W147" s="6"/>
      <c r="X147" s="6">
        <v>33209.5</v>
      </c>
      <c r="Y147" s="6"/>
      <c r="Z147" s="6">
        <v>5268</v>
      </c>
      <c r="AA147" s="6"/>
      <c r="AB147" s="6">
        <v>0</v>
      </c>
      <c r="AC147" s="6"/>
      <c r="AD147" s="6">
        <v>0</v>
      </c>
      <c r="AE147" s="6"/>
      <c r="AF147" s="6">
        <f t="shared" si="5"/>
        <v>275193.08999999997</v>
      </c>
    </row>
    <row r="148" spans="1:32" s="4" customFormat="1">
      <c r="A148" s="4">
        <v>42</v>
      </c>
      <c r="B148" s="4" t="s">
        <v>176</v>
      </c>
      <c r="D148" s="4" t="s">
        <v>49</v>
      </c>
      <c r="F148" s="6">
        <v>0</v>
      </c>
      <c r="G148" s="6"/>
      <c r="H148" s="6">
        <v>834987.89</v>
      </c>
      <c r="I148" s="6"/>
      <c r="J148" s="6">
        <v>0</v>
      </c>
      <c r="K148" s="6"/>
      <c r="L148" s="6">
        <v>0</v>
      </c>
      <c r="M148" s="6"/>
      <c r="N148" s="6">
        <v>0</v>
      </c>
      <c r="O148" s="6"/>
      <c r="P148" s="6">
        <v>0</v>
      </c>
      <c r="Q148" s="6"/>
      <c r="R148" s="6">
        <v>0</v>
      </c>
      <c r="S148" s="6"/>
      <c r="T148" s="6">
        <v>0</v>
      </c>
      <c r="U148" s="6"/>
      <c r="V148" s="6">
        <v>18800</v>
      </c>
      <c r="W148" s="6"/>
      <c r="X148" s="6">
        <v>7516.97</v>
      </c>
      <c r="Y148" s="6"/>
      <c r="Z148" s="6">
        <v>55841.46</v>
      </c>
      <c r="AA148" s="6"/>
      <c r="AB148" s="6">
        <v>0</v>
      </c>
      <c r="AC148" s="6"/>
      <c r="AD148" s="6">
        <v>0</v>
      </c>
      <c r="AE148" s="6"/>
      <c r="AF148" s="6">
        <f t="shared" si="5"/>
        <v>917146.32</v>
      </c>
    </row>
    <row r="149" spans="1:32" s="4" customFormat="1">
      <c r="A149" s="4">
        <v>104</v>
      </c>
      <c r="B149" s="4" t="s">
        <v>177</v>
      </c>
      <c r="D149" s="4" t="s">
        <v>58</v>
      </c>
      <c r="F149" s="6">
        <v>0</v>
      </c>
      <c r="G149" s="6"/>
      <c r="H149" s="6">
        <v>181210.23999999999</v>
      </c>
      <c r="I149" s="6"/>
      <c r="J149" s="6">
        <v>0</v>
      </c>
      <c r="K149" s="6"/>
      <c r="L149" s="6">
        <v>0</v>
      </c>
      <c r="M149" s="6"/>
      <c r="N149" s="6">
        <v>0</v>
      </c>
      <c r="O149" s="6"/>
      <c r="P149" s="6">
        <v>0</v>
      </c>
      <c r="Q149" s="6"/>
      <c r="R149" s="6">
        <v>0</v>
      </c>
      <c r="S149" s="6"/>
      <c r="T149" s="6">
        <v>0</v>
      </c>
      <c r="U149" s="6"/>
      <c r="V149" s="6">
        <v>45075.45</v>
      </c>
      <c r="W149" s="6"/>
      <c r="X149" s="6">
        <v>6842.63</v>
      </c>
      <c r="Y149" s="6"/>
      <c r="Z149" s="6">
        <v>0</v>
      </c>
      <c r="AA149" s="6"/>
      <c r="AB149" s="6">
        <v>0</v>
      </c>
      <c r="AC149" s="6"/>
      <c r="AD149" s="6">
        <v>0</v>
      </c>
      <c r="AE149" s="6"/>
      <c r="AF149" s="6">
        <f t="shared" si="5"/>
        <v>233128.32000000001</v>
      </c>
    </row>
    <row r="150" spans="1:32" s="4" customFormat="1">
      <c r="A150" s="4">
        <v>134</v>
      </c>
      <c r="B150" s="4" t="s">
        <v>561</v>
      </c>
      <c r="D150" s="4" t="s">
        <v>39</v>
      </c>
      <c r="F150" s="1">
        <v>136791</v>
      </c>
      <c r="G150" s="1"/>
      <c r="H150" s="1">
        <v>1719545</v>
      </c>
      <c r="I150" s="1"/>
      <c r="J150" s="1">
        <v>801975</v>
      </c>
      <c r="K150" s="1"/>
      <c r="L150" s="1">
        <v>348509</v>
      </c>
      <c r="M150" s="1"/>
      <c r="N150" s="1">
        <v>378719</v>
      </c>
      <c r="O150" s="1"/>
      <c r="P150" s="1">
        <v>0</v>
      </c>
      <c r="Q150" s="1"/>
      <c r="R150" s="1">
        <v>0</v>
      </c>
      <c r="S150" s="1"/>
      <c r="T150" s="1">
        <v>557094</v>
      </c>
      <c r="U150" s="1"/>
      <c r="V150" s="1">
        <v>0</v>
      </c>
      <c r="W150" s="1"/>
      <c r="X150" s="1">
        <v>0</v>
      </c>
      <c r="Y150" s="1"/>
      <c r="Z150" s="1">
        <v>502530</v>
      </c>
      <c r="AA150" s="1"/>
      <c r="AB150" s="1">
        <v>11136</v>
      </c>
      <c r="AC150" s="1"/>
      <c r="AD150" s="1">
        <v>0</v>
      </c>
      <c r="AF150" s="4">
        <f t="shared" si="5"/>
        <v>4456299</v>
      </c>
    </row>
    <row r="151" spans="1:32" s="4" customFormat="1">
      <c r="A151" s="4">
        <v>5</v>
      </c>
      <c r="B151" s="4" t="s">
        <v>178</v>
      </c>
      <c r="D151" s="4" t="s">
        <v>95</v>
      </c>
      <c r="F151" s="1">
        <v>16949</v>
      </c>
      <c r="G151" s="1"/>
      <c r="H151" s="1">
        <v>1816640</v>
      </c>
      <c r="I151" s="1"/>
      <c r="J151" s="1">
        <v>201349</v>
      </c>
      <c r="K151" s="1"/>
      <c r="L151" s="1">
        <v>152288</v>
      </c>
      <c r="M151" s="1"/>
      <c r="N151" s="1">
        <v>9217</v>
      </c>
      <c r="O151" s="1"/>
      <c r="P151" s="1">
        <v>0</v>
      </c>
      <c r="Q151" s="1"/>
      <c r="R151" s="1">
        <v>0</v>
      </c>
      <c r="S151" s="1"/>
      <c r="T151" s="1">
        <v>1673693</v>
      </c>
      <c r="U151" s="1"/>
      <c r="V151" s="1">
        <v>0</v>
      </c>
      <c r="W151" s="1"/>
      <c r="X151" s="1">
        <v>18034</v>
      </c>
      <c r="Y151" s="1"/>
      <c r="Z151" s="1">
        <v>1100000</v>
      </c>
      <c r="AA151" s="1"/>
      <c r="AB151" s="1">
        <v>0</v>
      </c>
      <c r="AC151" s="1"/>
      <c r="AD151" s="1">
        <v>0</v>
      </c>
      <c r="AF151" s="4">
        <f t="shared" si="5"/>
        <v>4988170</v>
      </c>
    </row>
    <row r="152" spans="1:32" s="4" customFormat="1">
      <c r="A152" s="4">
        <v>139</v>
      </c>
      <c r="B152" s="4" t="s">
        <v>562</v>
      </c>
      <c r="D152" s="4" t="s">
        <v>85</v>
      </c>
      <c r="F152" s="1">
        <v>196663</v>
      </c>
      <c r="G152" s="1"/>
      <c r="H152" s="1">
        <f>130247+642070+260485</f>
        <v>1032802</v>
      </c>
      <c r="I152" s="1"/>
      <c r="J152" s="1">
        <v>0</v>
      </c>
      <c r="K152" s="1"/>
      <c r="L152" s="1">
        <v>0</v>
      </c>
      <c r="M152" s="1"/>
      <c r="N152" s="1">
        <v>0</v>
      </c>
      <c r="O152" s="1"/>
      <c r="P152" s="1">
        <v>27172</v>
      </c>
      <c r="Q152" s="1"/>
      <c r="R152" s="1">
        <v>22371</v>
      </c>
      <c r="S152" s="1"/>
      <c r="T152" s="1">
        <v>58680</v>
      </c>
      <c r="U152" s="1"/>
      <c r="V152" s="1">
        <v>0</v>
      </c>
      <c r="W152" s="1"/>
      <c r="X152" s="1">
        <v>0</v>
      </c>
      <c r="Y152" s="1"/>
      <c r="Z152" s="1">
        <v>0</v>
      </c>
      <c r="AA152" s="1"/>
      <c r="AB152" s="1">
        <v>0</v>
      </c>
      <c r="AC152" s="1"/>
      <c r="AD152" s="1">
        <v>0</v>
      </c>
      <c r="AF152" s="4">
        <f t="shared" si="5"/>
        <v>1337688</v>
      </c>
    </row>
    <row r="153" spans="1:32" s="4" customFormat="1">
      <c r="A153" s="4">
        <v>108</v>
      </c>
      <c r="B153" s="4" t="s">
        <v>563</v>
      </c>
      <c r="D153" s="4" t="s">
        <v>179</v>
      </c>
      <c r="F153" s="1">
        <v>63313</v>
      </c>
      <c r="G153" s="1"/>
      <c r="H153" s="1">
        <v>0</v>
      </c>
      <c r="I153" s="1"/>
      <c r="J153" s="1">
        <v>138890</v>
      </c>
      <c r="K153" s="1"/>
      <c r="L153" s="1">
        <v>181916</v>
      </c>
      <c r="M153" s="1"/>
      <c r="N153" s="1">
        <v>461826</v>
      </c>
      <c r="O153" s="1"/>
      <c r="P153" s="1">
        <v>0</v>
      </c>
      <c r="Q153" s="1"/>
      <c r="R153" s="1">
        <v>0</v>
      </c>
      <c r="S153" s="1"/>
      <c r="T153" s="1">
        <v>9115</v>
      </c>
      <c r="U153" s="1"/>
      <c r="V153" s="1">
        <v>0</v>
      </c>
      <c r="W153" s="1"/>
      <c r="X153" s="1">
        <v>0</v>
      </c>
      <c r="Y153" s="1"/>
      <c r="Z153" s="1">
        <v>0</v>
      </c>
      <c r="AA153" s="1"/>
      <c r="AB153" s="1">
        <v>0</v>
      </c>
      <c r="AC153" s="1"/>
      <c r="AD153" s="1">
        <v>0</v>
      </c>
      <c r="AF153" s="4">
        <f t="shared" si="5"/>
        <v>855060</v>
      </c>
    </row>
    <row r="154" spans="1:32" s="4" customFormat="1">
      <c r="A154" s="4">
        <v>149</v>
      </c>
      <c r="B154" s="4" t="s">
        <v>9</v>
      </c>
      <c r="D154" s="4" t="s">
        <v>10</v>
      </c>
      <c r="F154" s="1">
        <v>0</v>
      </c>
      <c r="G154" s="1"/>
      <c r="H154" s="1">
        <v>752890</v>
      </c>
      <c r="I154" s="1"/>
      <c r="J154" s="1">
        <v>0</v>
      </c>
      <c r="K154" s="1"/>
      <c r="L154" s="1">
        <v>0</v>
      </c>
      <c r="M154" s="1"/>
      <c r="N154" s="1">
        <v>0</v>
      </c>
      <c r="O154" s="1"/>
      <c r="P154" s="1">
        <v>0</v>
      </c>
      <c r="Q154" s="1"/>
      <c r="R154" s="1">
        <v>0</v>
      </c>
      <c r="S154" s="1"/>
      <c r="T154" s="1">
        <v>0</v>
      </c>
      <c r="U154" s="1"/>
      <c r="V154" s="1">
        <v>0</v>
      </c>
      <c r="W154" s="1"/>
      <c r="X154" s="1">
        <v>0</v>
      </c>
      <c r="Y154" s="1"/>
      <c r="Z154" s="1">
        <v>95000</v>
      </c>
      <c r="AA154" s="1"/>
      <c r="AB154" s="1">
        <v>0</v>
      </c>
      <c r="AC154" s="1"/>
      <c r="AD154" s="1">
        <v>0</v>
      </c>
      <c r="AF154" s="4">
        <f t="shared" si="5"/>
        <v>847890</v>
      </c>
    </row>
    <row r="155" spans="1:32" s="4" customFormat="1">
      <c r="A155" s="4">
        <v>145</v>
      </c>
      <c r="B155" s="4" t="s">
        <v>180</v>
      </c>
      <c r="D155" s="4" t="s">
        <v>55</v>
      </c>
      <c r="F155" s="1">
        <v>0</v>
      </c>
      <c r="G155" s="1"/>
      <c r="H155" s="1">
        <v>6180234</v>
      </c>
      <c r="I155" s="1"/>
      <c r="J155" s="1">
        <v>1228844</v>
      </c>
      <c r="K155" s="1"/>
      <c r="L155" s="1">
        <v>369916</v>
      </c>
      <c r="M155" s="1"/>
      <c r="N155" s="1">
        <v>0</v>
      </c>
      <c r="O155" s="1"/>
      <c r="P155" s="1">
        <v>0</v>
      </c>
      <c r="Q155" s="1"/>
      <c r="R155" s="1">
        <v>0</v>
      </c>
      <c r="S155" s="1"/>
      <c r="T155" s="1">
        <v>181181</v>
      </c>
      <c r="U155" s="1"/>
      <c r="V155" s="1">
        <v>478860</v>
      </c>
      <c r="W155" s="1"/>
      <c r="X155" s="1">
        <v>0</v>
      </c>
      <c r="Y155" s="1"/>
      <c r="Z155" s="1">
        <v>0</v>
      </c>
      <c r="AA155" s="1"/>
      <c r="AB155" s="1">
        <v>0</v>
      </c>
      <c r="AC155" s="1"/>
      <c r="AD155" s="1">
        <v>1710349</v>
      </c>
      <c r="AF155" s="4">
        <f t="shared" si="5"/>
        <v>10149384</v>
      </c>
    </row>
    <row r="156" spans="1:32" s="4" customFormat="1">
      <c r="A156" s="4">
        <v>7</v>
      </c>
      <c r="B156" s="4" t="s">
        <v>181</v>
      </c>
      <c r="D156" s="4" t="s">
        <v>81</v>
      </c>
      <c r="F156" s="1">
        <v>40083</v>
      </c>
      <c r="G156" s="1"/>
      <c r="H156" s="1">
        <v>190752</v>
      </c>
      <c r="I156" s="1"/>
      <c r="J156" s="1">
        <v>91304</v>
      </c>
      <c r="K156" s="1"/>
      <c r="L156" s="1">
        <v>82477</v>
      </c>
      <c r="M156" s="1"/>
      <c r="N156" s="1">
        <v>148960</v>
      </c>
      <c r="O156" s="1"/>
      <c r="P156" s="1">
        <v>0</v>
      </c>
      <c r="Q156" s="1"/>
      <c r="R156" s="1">
        <v>0</v>
      </c>
      <c r="S156" s="1"/>
      <c r="T156" s="1">
        <v>17624</v>
      </c>
      <c r="U156" s="1"/>
      <c r="V156" s="1">
        <v>18070</v>
      </c>
      <c r="W156" s="1"/>
      <c r="X156" s="1">
        <v>3801</v>
      </c>
      <c r="Y156" s="1"/>
      <c r="Z156" s="1">
        <v>0</v>
      </c>
      <c r="AA156" s="1"/>
      <c r="AB156" s="1">
        <v>0</v>
      </c>
      <c r="AC156" s="1"/>
      <c r="AD156" s="1">
        <v>0</v>
      </c>
      <c r="AF156" s="4">
        <f t="shared" si="5"/>
        <v>593071</v>
      </c>
    </row>
    <row r="157" spans="1:32" s="4" customFormat="1">
      <c r="A157" s="4">
        <v>210</v>
      </c>
      <c r="B157" s="4" t="s">
        <v>306</v>
      </c>
      <c r="D157" s="4" t="s">
        <v>23</v>
      </c>
      <c r="F157" s="6">
        <v>0</v>
      </c>
      <c r="G157" s="6"/>
      <c r="H157" s="6">
        <v>724416.71</v>
      </c>
      <c r="I157" s="6"/>
      <c r="J157" s="6">
        <v>0</v>
      </c>
      <c r="K157" s="6"/>
      <c r="L157" s="6">
        <v>0</v>
      </c>
      <c r="M157" s="6"/>
      <c r="N157" s="6">
        <v>0</v>
      </c>
      <c r="O157" s="6"/>
      <c r="P157" s="6">
        <v>0</v>
      </c>
      <c r="Q157" s="6"/>
      <c r="R157" s="6">
        <v>0</v>
      </c>
      <c r="S157" s="6"/>
      <c r="T157" s="6">
        <v>41795.72</v>
      </c>
      <c r="U157" s="6"/>
      <c r="V157" s="6">
        <v>0</v>
      </c>
      <c r="W157" s="6"/>
      <c r="X157" s="6">
        <v>0</v>
      </c>
      <c r="Y157" s="6"/>
      <c r="Z157" s="6">
        <v>335000</v>
      </c>
      <c r="AA157" s="6"/>
      <c r="AB157" s="6">
        <v>0</v>
      </c>
      <c r="AC157" s="6"/>
      <c r="AD157" s="6">
        <v>0</v>
      </c>
      <c r="AE157" s="6"/>
      <c r="AF157" s="6">
        <f t="shared" si="5"/>
        <v>1101212.43</v>
      </c>
    </row>
    <row r="158" spans="1:32" s="4" customFormat="1">
      <c r="A158" s="4">
        <v>125</v>
      </c>
      <c r="B158" s="4" t="s">
        <v>182</v>
      </c>
      <c r="D158" s="4" t="s">
        <v>13</v>
      </c>
      <c r="F158" s="1">
        <v>0</v>
      </c>
      <c r="G158" s="1"/>
      <c r="H158" s="1">
        <v>1104408</v>
      </c>
      <c r="I158" s="1"/>
      <c r="J158" s="1">
        <v>0</v>
      </c>
      <c r="K158" s="1"/>
      <c r="L158" s="1">
        <v>0</v>
      </c>
      <c r="M158" s="1"/>
      <c r="N158" s="1">
        <v>0</v>
      </c>
      <c r="O158" s="1"/>
      <c r="P158" s="1">
        <v>0</v>
      </c>
      <c r="Q158" s="1"/>
      <c r="R158" s="1">
        <v>0</v>
      </c>
      <c r="S158" s="1"/>
      <c r="T158" s="1">
        <v>0</v>
      </c>
      <c r="U158" s="1"/>
      <c r="V158" s="1">
        <v>0</v>
      </c>
      <c r="W158" s="1"/>
      <c r="X158" s="1">
        <v>0</v>
      </c>
      <c r="Y158" s="1"/>
      <c r="Z158" s="1">
        <v>150000</v>
      </c>
      <c r="AA158" s="1"/>
      <c r="AB158" s="1">
        <v>0</v>
      </c>
      <c r="AC158" s="1"/>
      <c r="AD158" s="1">
        <v>0</v>
      </c>
      <c r="AF158" s="4">
        <f t="shared" si="5"/>
        <v>1254408</v>
      </c>
    </row>
    <row r="159" spans="1:32" s="4" customFormat="1">
      <c r="A159" s="4">
        <v>197</v>
      </c>
      <c r="B159" s="4" t="s">
        <v>590</v>
      </c>
      <c r="D159" s="4" t="s">
        <v>183</v>
      </c>
      <c r="F159" s="1">
        <v>749488</v>
      </c>
      <c r="G159" s="1"/>
      <c r="H159" s="1">
        <f>997721+3748611+1649619</f>
        <v>6395951</v>
      </c>
      <c r="I159" s="1"/>
      <c r="J159" s="1">
        <v>0</v>
      </c>
      <c r="K159" s="1"/>
      <c r="L159" s="1">
        <v>0</v>
      </c>
      <c r="M159" s="1"/>
      <c r="N159" s="1">
        <v>0</v>
      </c>
      <c r="O159" s="1"/>
      <c r="P159" s="1">
        <v>124696</v>
      </c>
      <c r="Q159" s="1"/>
      <c r="R159" s="1">
        <v>28629</v>
      </c>
      <c r="S159" s="1"/>
      <c r="T159" s="1">
        <v>135062</v>
      </c>
      <c r="U159" s="1"/>
      <c r="V159" s="1">
        <v>0</v>
      </c>
      <c r="W159" s="1"/>
      <c r="X159" s="1">
        <v>0</v>
      </c>
      <c r="Y159" s="1"/>
      <c r="Z159" s="1">
        <v>228800</v>
      </c>
      <c r="AA159" s="1"/>
      <c r="AB159" s="1">
        <v>0</v>
      </c>
      <c r="AC159" s="1"/>
      <c r="AD159" s="1">
        <v>22000</v>
      </c>
      <c r="AF159" s="4">
        <f t="shared" si="5"/>
        <v>7684626</v>
      </c>
    </row>
    <row r="160" spans="1:32" s="4" customFormat="1" hidden="1">
      <c r="A160" s="4">
        <v>195</v>
      </c>
      <c r="B160" s="4" t="s">
        <v>184</v>
      </c>
      <c r="D160" s="4" t="s">
        <v>100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>
        <f t="shared" si="5"/>
        <v>0</v>
      </c>
    </row>
    <row r="161" spans="1:32" s="4" customFormat="1"/>
    <row r="162" spans="1:32" s="4" customFormat="1">
      <c r="AF162" s="43" t="s">
        <v>580</v>
      </c>
    </row>
    <row r="163" spans="1:32">
      <c r="B163" s="3" t="s">
        <v>519</v>
      </c>
    </row>
    <row r="164" spans="1:32">
      <c r="B164" s="3" t="s">
        <v>626</v>
      </c>
    </row>
    <row r="165" spans="1:32">
      <c r="B165" s="41" t="s">
        <v>5</v>
      </c>
    </row>
    <row r="166" spans="1:32" s="36" customFormat="1">
      <c r="B166" s="41"/>
      <c r="H166" s="36" t="s">
        <v>6</v>
      </c>
    </row>
    <row r="167" spans="1:32" s="36" customFormat="1">
      <c r="F167" s="36" t="s">
        <v>319</v>
      </c>
      <c r="H167" s="36" t="s">
        <v>548</v>
      </c>
      <c r="J167" s="36" t="s">
        <v>628</v>
      </c>
      <c r="L167" s="36" t="s">
        <v>547</v>
      </c>
      <c r="X167" s="36" t="s">
        <v>326</v>
      </c>
      <c r="AD167" s="36" t="s">
        <v>0</v>
      </c>
    </row>
    <row r="168" spans="1:32" s="36" customFormat="1">
      <c r="F168" s="36" t="s">
        <v>320</v>
      </c>
      <c r="H168" s="36" t="s">
        <v>321</v>
      </c>
      <c r="J168" s="36" t="s">
        <v>629</v>
      </c>
      <c r="L168" s="36" t="s">
        <v>545</v>
      </c>
      <c r="N168" s="36" t="s">
        <v>631</v>
      </c>
      <c r="T168" s="36" t="s">
        <v>28</v>
      </c>
      <c r="V168" s="36" t="s">
        <v>324</v>
      </c>
      <c r="X168" s="36" t="s">
        <v>327</v>
      </c>
      <c r="AD168" s="36" t="s">
        <v>294</v>
      </c>
    </row>
    <row r="169" spans="1:32" s="36" customFormat="1" ht="12" customHeight="1">
      <c r="A169" s="36" t="s">
        <v>567</v>
      </c>
      <c r="B169" s="37" t="s">
        <v>6</v>
      </c>
      <c r="C169" s="44"/>
      <c r="D169" s="37" t="s">
        <v>4</v>
      </c>
      <c r="E169" s="44"/>
      <c r="F169" s="37" t="s">
        <v>27</v>
      </c>
      <c r="G169" s="44"/>
      <c r="H169" s="37" t="s">
        <v>322</v>
      </c>
      <c r="I169" s="44"/>
      <c r="J169" s="37" t="s">
        <v>630</v>
      </c>
      <c r="K169" s="44"/>
      <c r="L169" s="37" t="s">
        <v>546</v>
      </c>
      <c r="M169" s="44"/>
      <c r="N169" s="45" t="s">
        <v>632</v>
      </c>
      <c r="O169" s="44"/>
      <c r="P169" s="37" t="s">
        <v>2</v>
      </c>
      <c r="Q169" s="44"/>
      <c r="R169" s="37" t="s">
        <v>0</v>
      </c>
      <c r="S169" s="44"/>
      <c r="T169" s="37" t="s">
        <v>323</v>
      </c>
      <c r="U169" s="44"/>
      <c r="V169" s="37" t="s">
        <v>325</v>
      </c>
      <c r="W169" s="44"/>
      <c r="X169" s="37" t="s">
        <v>328</v>
      </c>
      <c r="Y169" s="44"/>
      <c r="Z169" s="37" t="s">
        <v>499</v>
      </c>
      <c r="AA169" s="44"/>
      <c r="AB169" s="37" t="s">
        <v>500</v>
      </c>
      <c r="AC169" s="44"/>
      <c r="AD169" s="37" t="s">
        <v>329</v>
      </c>
      <c r="AE169" s="44"/>
      <c r="AF169" s="45" t="s">
        <v>26</v>
      </c>
    </row>
    <row r="170" spans="1:32" s="4" customFormat="1">
      <c r="A170" s="4">
        <v>154</v>
      </c>
      <c r="B170" s="3" t="s">
        <v>185</v>
      </c>
      <c r="C170" s="3"/>
      <c r="D170" s="3" t="s">
        <v>186</v>
      </c>
      <c r="E170" s="3"/>
      <c r="F170" s="7">
        <v>0</v>
      </c>
      <c r="G170" s="7"/>
      <c r="H170" s="7">
        <v>1978895</v>
      </c>
      <c r="I170" s="7"/>
      <c r="J170" s="7">
        <v>0</v>
      </c>
      <c r="K170" s="7"/>
      <c r="L170" s="7">
        <v>0</v>
      </c>
      <c r="M170" s="7"/>
      <c r="N170" s="7">
        <v>0</v>
      </c>
      <c r="O170" s="7"/>
      <c r="P170" s="7">
        <v>0</v>
      </c>
      <c r="Q170" s="7"/>
      <c r="R170" s="7">
        <v>0</v>
      </c>
      <c r="S170" s="7"/>
      <c r="T170" s="7">
        <v>0</v>
      </c>
      <c r="U170" s="7"/>
      <c r="V170" s="7">
        <v>0</v>
      </c>
      <c r="W170" s="7"/>
      <c r="X170" s="7">
        <v>0</v>
      </c>
      <c r="Y170" s="7"/>
      <c r="Z170" s="7">
        <v>500000</v>
      </c>
      <c r="AA170" s="7"/>
      <c r="AB170" s="7">
        <v>0</v>
      </c>
      <c r="AC170" s="7"/>
      <c r="AD170" s="7">
        <v>0</v>
      </c>
      <c r="AE170" s="7"/>
      <c r="AF170" s="7">
        <f t="shared" ref="AF170:AF201" si="6">SUM(F170:AD170)</f>
        <v>2478895</v>
      </c>
    </row>
    <row r="171" spans="1:32" s="4" customFormat="1">
      <c r="A171" s="4">
        <v>21</v>
      </c>
      <c r="B171" s="4" t="s">
        <v>424</v>
      </c>
      <c r="D171" s="4" t="s">
        <v>11</v>
      </c>
      <c r="F171" s="6">
        <v>0</v>
      </c>
      <c r="G171" s="6"/>
      <c r="H171" s="6">
        <v>1067155.6499999999</v>
      </c>
      <c r="I171" s="6"/>
      <c r="J171" s="6">
        <v>0</v>
      </c>
      <c r="K171" s="6"/>
      <c r="L171" s="6">
        <v>0</v>
      </c>
      <c r="M171" s="6"/>
      <c r="N171" s="6">
        <v>0</v>
      </c>
      <c r="O171" s="6"/>
      <c r="P171" s="6">
        <v>0</v>
      </c>
      <c r="Q171" s="6"/>
      <c r="R171" s="6">
        <v>0</v>
      </c>
      <c r="S171" s="6"/>
      <c r="T171" s="6">
        <v>146518.76999999999</v>
      </c>
      <c r="U171" s="6"/>
      <c r="V171" s="6">
        <v>0</v>
      </c>
      <c r="W171" s="6"/>
      <c r="X171" s="6">
        <v>0</v>
      </c>
      <c r="Y171" s="6"/>
      <c r="Z171" s="6">
        <v>30.8</v>
      </c>
      <c r="AA171" s="6"/>
      <c r="AB171" s="6">
        <v>0</v>
      </c>
      <c r="AC171" s="6"/>
      <c r="AD171" s="6">
        <v>311.57</v>
      </c>
      <c r="AE171" s="6"/>
      <c r="AF171" s="6">
        <f t="shared" si="6"/>
        <v>1214016.79</v>
      </c>
    </row>
    <row r="172" spans="1:32" s="4" customFormat="1">
      <c r="A172" s="4">
        <v>198</v>
      </c>
      <c r="B172" s="4" t="s">
        <v>187</v>
      </c>
      <c r="D172" s="4" t="s">
        <v>183</v>
      </c>
      <c r="F172" s="6">
        <v>0</v>
      </c>
      <c r="G172" s="6"/>
      <c r="H172" s="6">
        <v>536402.13</v>
      </c>
      <c r="I172" s="6"/>
      <c r="J172" s="6">
        <v>0</v>
      </c>
      <c r="K172" s="6"/>
      <c r="L172" s="6">
        <v>0</v>
      </c>
      <c r="M172" s="6"/>
      <c r="N172" s="6">
        <v>0</v>
      </c>
      <c r="O172" s="6"/>
      <c r="P172" s="6">
        <v>0</v>
      </c>
      <c r="Q172" s="6"/>
      <c r="R172" s="6">
        <v>0</v>
      </c>
      <c r="S172" s="6"/>
      <c r="T172" s="6">
        <v>25080.75</v>
      </c>
      <c r="U172" s="6"/>
      <c r="V172" s="6">
        <v>0</v>
      </c>
      <c r="W172" s="6"/>
      <c r="X172" s="6">
        <v>530.5</v>
      </c>
      <c r="Y172" s="6"/>
      <c r="Z172" s="6">
        <v>50000</v>
      </c>
      <c r="AA172" s="6"/>
      <c r="AB172" s="6">
        <v>0</v>
      </c>
      <c r="AC172" s="6"/>
      <c r="AD172" s="6">
        <v>0</v>
      </c>
      <c r="AE172" s="6"/>
      <c r="AF172" s="6">
        <f t="shared" si="6"/>
        <v>612013.38</v>
      </c>
    </row>
    <row r="173" spans="1:32" s="4" customFormat="1">
      <c r="A173" s="4">
        <v>242</v>
      </c>
      <c r="B173" s="4" t="s">
        <v>188</v>
      </c>
      <c r="D173" s="4" t="s">
        <v>52</v>
      </c>
      <c r="F173" s="6">
        <v>17321.240000000002</v>
      </c>
      <c r="G173" s="6"/>
      <c r="H173" s="6">
        <v>443467</v>
      </c>
      <c r="I173" s="6"/>
      <c r="J173" s="6">
        <v>84159.01</v>
      </c>
      <c r="K173" s="6"/>
      <c r="L173" s="6">
        <v>71075.740000000005</v>
      </c>
      <c r="M173" s="6"/>
      <c r="N173" s="6">
        <v>20502.650000000001</v>
      </c>
      <c r="O173" s="6"/>
      <c r="P173" s="6">
        <v>0</v>
      </c>
      <c r="Q173" s="6"/>
      <c r="R173" s="6">
        <v>0</v>
      </c>
      <c r="S173" s="6"/>
      <c r="T173" s="6">
        <v>193482.34</v>
      </c>
      <c r="U173" s="6"/>
      <c r="V173" s="6">
        <v>0</v>
      </c>
      <c r="W173" s="6"/>
      <c r="X173" s="6">
        <v>0</v>
      </c>
      <c r="Y173" s="6"/>
      <c r="Z173" s="6">
        <v>250000</v>
      </c>
      <c r="AA173" s="6"/>
      <c r="AB173" s="6">
        <v>0</v>
      </c>
      <c r="AC173" s="6"/>
      <c r="AD173" s="6">
        <v>0</v>
      </c>
      <c r="AE173" s="6"/>
      <c r="AF173" s="6">
        <f t="shared" si="6"/>
        <v>1080007.98</v>
      </c>
    </row>
    <row r="174" spans="1:32" s="4" customFormat="1">
      <c r="A174" s="4">
        <v>99</v>
      </c>
      <c r="B174" s="4" t="s">
        <v>189</v>
      </c>
      <c r="D174" s="4" t="s">
        <v>59</v>
      </c>
      <c r="F174" s="6">
        <v>0</v>
      </c>
      <c r="G174" s="6"/>
      <c r="H174" s="6">
        <v>625017.84</v>
      </c>
      <c r="I174" s="6"/>
      <c r="J174" s="6">
        <v>0</v>
      </c>
      <c r="K174" s="6"/>
      <c r="L174" s="6">
        <v>0</v>
      </c>
      <c r="M174" s="6"/>
      <c r="N174" s="6">
        <v>0</v>
      </c>
      <c r="O174" s="6"/>
      <c r="P174" s="6">
        <v>0</v>
      </c>
      <c r="Q174" s="6"/>
      <c r="R174" s="6">
        <v>0</v>
      </c>
      <c r="S174" s="6"/>
      <c r="T174" s="6">
        <v>25000</v>
      </c>
      <c r="U174" s="6"/>
      <c r="V174" s="6">
        <v>0</v>
      </c>
      <c r="W174" s="6"/>
      <c r="X174" s="6">
        <v>0</v>
      </c>
      <c r="Y174" s="6"/>
      <c r="Z174" s="6">
        <v>111911.83</v>
      </c>
      <c r="AA174" s="6"/>
      <c r="AB174" s="6">
        <v>0</v>
      </c>
      <c r="AC174" s="6"/>
      <c r="AD174" s="6">
        <v>0</v>
      </c>
      <c r="AE174" s="6"/>
      <c r="AF174" s="6">
        <f t="shared" si="6"/>
        <v>761929.66999999993</v>
      </c>
    </row>
    <row r="175" spans="1:32" s="4" customFormat="1">
      <c r="A175" s="4">
        <v>237</v>
      </c>
      <c r="B175" s="4" t="s">
        <v>190</v>
      </c>
      <c r="D175" s="4" t="s">
        <v>191</v>
      </c>
      <c r="F175" s="77">
        <v>132986</v>
      </c>
      <c r="G175" s="77"/>
      <c r="H175" s="77">
        <f>284332+772382+220726</f>
        <v>1277440</v>
      </c>
      <c r="I175" s="77"/>
      <c r="J175" s="77">
        <v>0</v>
      </c>
      <c r="K175" s="77"/>
      <c r="L175" s="77">
        <v>0</v>
      </c>
      <c r="M175" s="77"/>
      <c r="N175" s="77">
        <v>0</v>
      </c>
      <c r="O175" s="77"/>
      <c r="P175" s="77">
        <v>18578</v>
      </c>
      <c r="Q175" s="77"/>
      <c r="R175" s="77">
        <v>93036</v>
      </c>
      <c r="S175" s="77"/>
      <c r="T175" s="77">
        <v>37839</v>
      </c>
      <c r="U175" s="77"/>
      <c r="V175" s="77">
        <v>0</v>
      </c>
      <c r="W175" s="77"/>
      <c r="X175" s="77">
        <v>0</v>
      </c>
      <c r="Y175" s="77"/>
      <c r="Z175" s="77">
        <v>0</v>
      </c>
      <c r="AA175" s="77"/>
      <c r="AB175" s="77">
        <v>0</v>
      </c>
      <c r="AC175" s="77"/>
      <c r="AD175" s="77">
        <v>0</v>
      </c>
      <c r="AE175" s="77"/>
      <c r="AF175" s="77">
        <f t="shared" si="6"/>
        <v>1559879</v>
      </c>
    </row>
    <row r="176" spans="1:32" s="4" customFormat="1">
      <c r="A176" s="4">
        <v>243</v>
      </c>
      <c r="B176" s="4" t="s">
        <v>192</v>
      </c>
      <c r="D176" s="4" t="s">
        <v>52</v>
      </c>
      <c r="F176" s="6">
        <v>0</v>
      </c>
      <c r="G176" s="6"/>
      <c r="H176" s="6">
        <v>1305205.07</v>
      </c>
      <c r="I176" s="6"/>
      <c r="J176" s="6">
        <v>0</v>
      </c>
      <c r="K176" s="6"/>
      <c r="L176" s="6">
        <v>0</v>
      </c>
      <c r="M176" s="6"/>
      <c r="N176" s="6">
        <v>0</v>
      </c>
      <c r="O176" s="6"/>
      <c r="P176" s="6">
        <v>0</v>
      </c>
      <c r="Q176" s="6"/>
      <c r="R176" s="6">
        <v>0</v>
      </c>
      <c r="S176" s="6"/>
      <c r="T176" s="6">
        <v>67189.429999999993</v>
      </c>
      <c r="U176" s="6"/>
      <c r="V176" s="6">
        <v>0</v>
      </c>
      <c r="W176" s="6"/>
      <c r="X176" s="6">
        <v>0</v>
      </c>
      <c r="Y176" s="6"/>
      <c r="Z176" s="6">
        <v>0</v>
      </c>
      <c r="AA176" s="6"/>
      <c r="AB176" s="6">
        <v>0</v>
      </c>
      <c r="AC176" s="6"/>
      <c r="AD176" s="6">
        <v>0</v>
      </c>
      <c r="AE176" s="6"/>
      <c r="AF176" s="6">
        <f t="shared" si="6"/>
        <v>1372394.5</v>
      </c>
    </row>
    <row r="177" spans="1:32" s="4" customFormat="1">
      <c r="A177" s="4">
        <v>211</v>
      </c>
      <c r="B177" s="4" t="s">
        <v>193</v>
      </c>
      <c r="D177" s="4" t="s">
        <v>23</v>
      </c>
      <c r="F177" s="4">
        <v>85419</v>
      </c>
      <c r="H177" s="4">
        <v>1838588</v>
      </c>
      <c r="J177" s="4">
        <v>24497</v>
      </c>
      <c r="L177" s="4">
        <v>119859</v>
      </c>
      <c r="N177" s="4">
        <v>211507</v>
      </c>
      <c r="P177" s="4">
        <v>0</v>
      </c>
      <c r="R177" s="4">
        <v>0</v>
      </c>
      <c r="T177" s="4">
        <v>158826</v>
      </c>
      <c r="V177" s="4">
        <v>0</v>
      </c>
      <c r="X177" s="4">
        <v>0</v>
      </c>
      <c r="Z177" s="4">
        <v>26000</v>
      </c>
      <c r="AB177" s="4">
        <v>0</v>
      </c>
      <c r="AD177" s="4">
        <v>0</v>
      </c>
      <c r="AF177" s="4">
        <f t="shared" si="6"/>
        <v>2464696</v>
      </c>
    </row>
    <row r="178" spans="1:32" s="4" customFormat="1">
      <c r="A178" s="4">
        <v>94</v>
      </c>
      <c r="B178" s="4" t="s">
        <v>336</v>
      </c>
      <c r="D178" s="4" t="s">
        <v>137</v>
      </c>
      <c r="F178" s="6">
        <v>0</v>
      </c>
      <c r="G178" s="6"/>
      <c r="H178" s="6">
        <v>268749.65999999997</v>
      </c>
      <c r="I178" s="6"/>
      <c r="J178" s="6">
        <v>0</v>
      </c>
      <c r="K178" s="6"/>
      <c r="L178" s="6">
        <v>0</v>
      </c>
      <c r="M178" s="6"/>
      <c r="N178" s="6">
        <v>0</v>
      </c>
      <c r="O178" s="6"/>
      <c r="P178" s="6">
        <v>0</v>
      </c>
      <c r="Q178" s="6"/>
      <c r="R178" s="6">
        <v>0</v>
      </c>
      <c r="S178" s="6"/>
      <c r="T178" s="6">
        <v>3846.76</v>
      </c>
      <c r="U178" s="6"/>
      <c r="V178" s="6">
        <v>0</v>
      </c>
      <c r="W178" s="6"/>
      <c r="X178" s="6">
        <v>0</v>
      </c>
      <c r="Y178" s="6"/>
      <c r="Z178" s="6">
        <v>0</v>
      </c>
      <c r="AA178" s="6"/>
      <c r="AB178" s="6">
        <v>0</v>
      </c>
      <c r="AC178" s="6"/>
      <c r="AD178" s="6">
        <v>0</v>
      </c>
      <c r="AE178" s="6"/>
      <c r="AF178" s="6">
        <f t="shared" si="6"/>
        <v>272596.42</v>
      </c>
    </row>
    <row r="179" spans="1:32" s="4" customFormat="1">
      <c r="A179" s="4">
        <v>227</v>
      </c>
      <c r="B179" s="4" t="s">
        <v>433</v>
      </c>
      <c r="D179" s="4" t="s">
        <v>54</v>
      </c>
      <c r="F179" s="4">
        <v>0</v>
      </c>
      <c r="H179" s="4">
        <v>946891</v>
      </c>
      <c r="J179" s="4">
        <v>0</v>
      </c>
      <c r="L179" s="4">
        <v>0</v>
      </c>
      <c r="N179" s="4">
        <v>0</v>
      </c>
      <c r="P179" s="4">
        <v>0</v>
      </c>
      <c r="R179" s="4">
        <v>0</v>
      </c>
      <c r="T179" s="4">
        <v>90540</v>
      </c>
      <c r="V179" s="4">
        <v>0</v>
      </c>
      <c r="X179" s="4">
        <v>0</v>
      </c>
      <c r="Z179" s="4">
        <v>176941</v>
      </c>
      <c r="AB179" s="4">
        <v>0</v>
      </c>
      <c r="AD179" s="4">
        <v>0</v>
      </c>
      <c r="AF179" s="4">
        <f t="shared" si="6"/>
        <v>1214372</v>
      </c>
    </row>
    <row r="180" spans="1:32" s="4" customFormat="1">
      <c r="A180" s="4">
        <v>29</v>
      </c>
      <c r="B180" s="4" t="s">
        <v>194</v>
      </c>
      <c r="D180" s="4" t="s">
        <v>60</v>
      </c>
      <c r="F180" s="6">
        <v>0</v>
      </c>
      <c r="G180" s="6"/>
      <c r="H180" s="6">
        <v>250545.04</v>
      </c>
      <c r="I180" s="6"/>
      <c r="J180" s="6">
        <v>0</v>
      </c>
      <c r="K180" s="6"/>
      <c r="L180" s="6">
        <v>0</v>
      </c>
      <c r="M180" s="6"/>
      <c r="N180" s="6">
        <v>0</v>
      </c>
      <c r="O180" s="6"/>
      <c r="P180" s="6">
        <v>0</v>
      </c>
      <c r="Q180" s="6"/>
      <c r="R180" s="6">
        <v>0</v>
      </c>
      <c r="S180" s="6"/>
      <c r="T180" s="6">
        <v>35773</v>
      </c>
      <c r="U180" s="6"/>
      <c r="V180" s="6">
        <v>0</v>
      </c>
      <c r="W180" s="6"/>
      <c r="X180" s="6">
        <v>0</v>
      </c>
      <c r="Y180" s="6"/>
      <c r="Z180" s="6">
        <v>0</v>
      </c>
      <c r="AA180" s="6"/>
      <c r="AB180" s="6">
        <v>0</v>
      </c>
      <c r="AC180" s="6"/>
      <c r="AD180" s="6">
        <v>503.35</v>
      </c>
      <c r="AE180" s="6"/>
      <c r="AF180" s="6">
        <f t="shared" si="6"/>
        <v>286821.39</v>
      </c>
    </row>
    <row r="181" spans="1:32" s="4" customFormat="1">
      <c r="A181" s="4">
        <v>156</v>
      </c>
      <c r="B181" s="4" t="s">
        <v>591</v>
      </c>
      <c r="D181" s="4" t="s">
        <v>18</v>
      </c>
      <c r="F181" s="4">
        <v>127338</v>
      </c>
      <c r="H181" s="4">
        <v>4943857</v>
      </c>
      <c r="J181" s="4">
        <v>888147</v>
      </c>
      <c r="L181" s="4">
        <v>722812</v>
      </c>
      <c r="N181" s="4">
        <v>511391</v>
      </c>
      <c r="P181" s="4">
        <v>0</v>
      </c>
      <c r="R181" s="4">
        <v>0</v>
      </c>
      <c r="T181" s="4">
        <v>449867</v>
      </c>
      <c r="V181" s="4">
        <v>1700000</v>
      </c>
      <c r="X181" s="4">
        <f>1489163+2425710</f>
        <v>3914873</v>
      </c>
      <c r="Z181" s="4">
        <v>0</v>
      </c>
      <c r="AB181" s="4">
        <v>0</v>
      </c>
      <c r="AD181" s="4">
        <f>257895+25020000</f>
        <v>25277895</v>
      </c>
      <c r="AF181" s="4">
        <f t="shared" si="6"/>
        <v>38536180</v>
      </c>
    </row>
    <row r="182" spans="1:32" s="4" customFormat="1">
      <c r="A182" s="4">
        <v>157</v>
      </c>
      <c r="B182" s="4" t="s">
        <v>483</v>
      </c>
      <c r="D182" s="4" t="s">
        <v>426</v>
      </c>
      <c r="F182" s="76">
        <v>0</v>
      </c>
      <c r="G182" s="76"/>
      <c r="H182" s="76">
        <v>655116</v>
      </c>
      <c r="I182" s="76"/>
      <c r="J182" s="76">
        <v>0</v>
      </c>
      <c r="K182" s="76"/>
      <c r="L182" s="76">
        <v>0</v>
      </c>
      <c r="M182" s="76"/>
      <c r="N182" s="76">
        <v>0</v>
      </c>
      <c r="O182" s="76"/>
      <c r="P182" s="76">
        <v>0</v>
      </c>
      <c r="Q182" s="76"/>
      <c r="R182" s="76">
        <v>0</v>
      </c>
      <c r="S182" s="76"/>
      <c r="T182" s="76">
        <v>39571.230000000003</v>
      </c>
      <c r="U182" s="76"/>
      <c r="V182" s="76">
        <v>0</v>
      </c>
      <c r="W182" s="76"/>
      <c r="X182" s="76">
        <v>0</v>
      </c>
      <c r="Y182" s="76"/>
      <c r="Z182" s="76">
        <v>0</v>
      </c>
      <c r="AA182" s="76"/>
      <c r="AB182" s="76">
        <v>0</v>
      </c>
      <c r="AC182" s="76"/>
      <c r="AD182" s="76">
        <v>0</v>
      </c>
      <c r="AE182" s="76"/>
      <c r="AF182" s="76">
        <f t="shared" si="6"/>
        <v>694687.23</v>
      </c>
    </row>
    <row r="183" spans="1:32" s="4" customFormat="1">
      <c r="A183" s="4">
        <v>126</v>
      </c>
      <c r="B183" s="4" t="s">
        <v>12</v>
      </c>
      <c r="D183" s="4" t="s">
        <v>13</v>
      </c>
      <c r="F183" s="4">
        <v>0</v>
      </c>
      <c r="H183" s="4">
        <v>3187067</v>
      </c>
      <c r="J183" s="4">
        <v>0</v>
      </c>
      <c r="L183" s="4">
        <v>0</v>
      </c>
      <c r="N183" s="4">
        <v>0</v>
      </c>
      <c r="P183" s="4">
        <v>0</v>
      </c>
      <c r="R183" s="4">
        <v>0</v>
      </c>
      <c r="T183" s="4">
        <v>32179</v>
      </c>
      <c r="V183" s="4">
        <v>65500</v>
      </c>
      <c r="X183" s="4">
        <v>17473</v>
      </c>
      <c r="Z183" s="4">
        <v>526100</v>
      </c>
      <c r="AB183" s="4">
        <v>75000</v>
      </c>
      <c r="AD183" s="4">
        <v>0</v>
      </c>
      <c r="AF183" s="4">
        <f t="shared" si="6"/>
        <v>3903319</v>
      </c>
    </row>
    <row r="184" spans="1:32" s="4" customFormat="1">
      <c r="A184" s="4">
        <v>160</v>
      </c>
      <c r="B184" s="4" t="s">
        <v>592</v>
      </c>
      <c r="D184" s="4" t="s">
        <v>48</v>
      </c>
      <c r="F184" s="6">
        <v>0</v>
      </c>
      <c r="G184" s="6"/>
      <c r="H184" s="6">
        <v>986128.76</v>
      </c>
      <c r="I184" s="6"/>
      <c r="J184" s="6">
        <v>0</v>
      </c>
      <c r="K184" s="6"/>
      <c r="L184" s="6">
        <v>0</v>
      </c>
      <c r="M184" s="6"/>
      <c r="N184" s="6">
        <v>0</v>
      </c>
      <c r="O184" s="6"/>
      <c r="P184" s="6">
        <v>0</v>
      </c>
      <c r="Q184" s="6"/>
      <c r="R184" s="6">
        <v>0</v>
      </c>
      <c r="S184" s="6"/>
      <c r="T184" s="6">
        <v>19878.25</v>
      </c>
      <c r="U184" s="6"/>
      <c r="V184" s="6">
        <v>0</v>
      </c>
      <c r="W184" s="6"/>
      <c r="X184" s="6">
        <v>0</v>
      </c>
      <c r="Y184" s="6"/>
      <c r="Z184" s="6">
        <v>66223.41</v>
      </c>
      <c r="AA184" s="6"/>
      <c r="AB184" s="6">
        <v>0</v>
      </c>
      <c r="AC184" s="6"/>
      <c r="AD184" s="6">
        <v>0</v>
      </c>
      <c r="AE184" s="6"/>
      <c r="AF184" s="6">
        <f t="shared" si="6"/>
        <v>1072230.42</v>
      </c>
    </row>
    <row r="185" spans="1:32" s="4" customFormat="1">
      <c r="A185" s="4">
        <v>26</v>
      </c>
      <c r="B185" s="4" t="s">
        <v>195</v>
      </c>
      <c r="D185" s="4" t="s">
        <v>8</v>
      </c>
      <c r="F185" s="4">
        <v>153092</v>
      </c>
      <c r="H185" s="4">
        <v>2104199</v>
      </c>
      <c r="J185" s="4">
        <v>1260227</v>
      </c>
      <c r="L185" s="4">
        <v>786733</v>
      </c>
      <c r="N185" s="4">
        <v>747085</v>
      </c>
      <c r="P185" s="4">
        <v>0</v>
      </c>
      <c r="R185" s="4">
        <v>0</v>
      </c>
      <c r="T185" s="4">
        <v>318278</v>
      </c>
      <c r="V185" s="4">
        <v>0</v>
      </c>
      <c r="X185" s="4">
        <v>0</v>
      </c>
      <c r="Z185" s="4">
        <v>250000</v>
      </c>
      <c r="AB185" s="4">
        <v>0</v>
      </c>
      <c r="AD185" s="4">
        <v>0</v>
      </c>
      <c r="AF185" s="4">
        <f t="shared" si="6"/>
        <v>5619614</v>
      </c>
    </row>
    <row r="186" spans="1:32" s="4" customFormat="1">
      <c r="A186" s="4">
        <v>67</v>
      </c>
      <c r="B186" s="4" t="s">
        <v>196</v>
      </c>
      <c r="D186" s="4" t="s">
        <v>165</v>
      </c>
      <c r="F186" s="6">
        <v>0</v>
      </c>
      <c r="G186" s="6"/>
      <c r="H186" s="6">
        <v>783136.57</v>
      </c>
      <c r="I186" s="6"/>
      <c r="J186" s="6">
        <v>0</v>
      </c>
      <c r="K186" s="6"/>
      <c r="L186" s="6">
        <v>0</v>
      </c>
      <c r="M186" s="6"/>
      <c r="N186" s="6">
        <v>0</v>
      </c>
      <c r="O186" s="6"/>
      <c r="P186" s="6">
        <v>0</v>
      </c>
      <c r="Q186" s="6"/>
      <c r="R186" s="6">
        <v>0</v>
      </c>
      <c r="S186" s="6"/>
      <c r="T186" s="6">
        <v>62406.77</v>
      </c>
      <c r="U186" s="6"/>
      <c r="V186" s="6">
        <v>0</v>
      </c>
      <c r="W186" s="6"/>
      <c r="X186" s="6">
        <v>0</v>
      </c>
      <c r="Y186" s="6"/>
      <c r="Z186" s="6">
        <v>0</v>
      </c>
      <c r="AA186" s="6"/>
      <c r="AB186" s="6">
        <v>0</v>
      </c>
      <c r="AC186" s="6"/>
      <c r="AD186" s="6">
        <v>8047.15</v>
      </c>
      <c r="AE186" s="6"/>
      <c r="AF186" s="6">
        <f t="shared" si="6"/>
        <v>853590.49</v>
      </c>
    </row>
    <row r="187" spans="1:32" s="4" customFormat="1">
      <c r="A187" s="4">
        <v>165</v>
      </c>
      <c r="B187" s="4" t="s">
        <v>197</v>
      </c>
      <c r="D187" s="4" t="s">
        <v>51</v>
      </c>
      <c r="F187" s="6">
        <v>0</v>
      </c>
      <c r="G187" s="6"/>
      <c r="H187" s="6">
        <v>423441</v>
      </c>
      <c r="I187" s="6"/>
      <c r="J187" s="6">
        <v>0</v>
      </c>
      <c r="K187" s="6"/>
      <c r="L187" s="6">
        <v>0</v>
      </c>
      <c r="M187" s="6"/>
      <c r="N187" s="6">
        <v>0</v>
      </c>
      <c r="O187" s="6"/>
      <c r="P187" s="6">
        <v>0</v>
      </c>
      <c r="Q187" s="6"/>
      <c r="R187" s="6">
        <v>0</v>
      </c>
      <c r="S187" s="6"/>
      <c r="T187" s="6">
        <v>3000</v>
      </c>
      <c r="U187" s="6"/>
      <c r="V187" s="6">
        <v>0</v>
      </c>
      <c r="W187" s="6"/>
      <c r="X187" s="6">
        <v>0</v>
      </c>
      <c r="Y187" s="6"/>
      <c r="Z187" s="6">
        <v>0</v>
      </c>
      <c r="AA187" s="6"/>
      <c r="AB187" s="6">
        <v>0</v>
      </c>
      <c r="AC187" s="6"/>
      <c r="AD187" s="6">
        <v>0</v>
      </c>
      <c r="AE187" s="6"/>
      <c r="AF187" s="6">
        <f t="shared" si="6"/>
        <v>426441</v>
      </c>
    </row>
    <row r="188" spans="1:32" s="4" customFormat="1">
      <c r="A188" s="4">
        <v>212</v>
      </c>
      <c r="B188" s="4" t="s">
        <v>198</v>
      </c>
      <c r="D188" s="4" t="s">
        <v>23</v>
      </c>
      <c r="F188" s="76">
        <v>0</v>
      </c>
      <c r="G188" s="76"/>
      <c r="H188" s="76">
        <v>637835.88</v>
      </c>
      <c r="I188" s="76"/>
      <c r="J188" s="76">
        <v>0</v>
      </c>
      <c r="K188" s="76"/>
      <c r="L188" s="76">
        <v>0</v>
      </c>
      <c r="M188" s="76"/>
      <c r="N188" s="76">
        <v>0</v>
      </c>
      <c r="O188" s="76"/>
      <c r="P188" s="76">
        <v>0</v>
      </c>
      <c r="Q188" s="76"/>
      <c r="R188" s="76">
        <v>0</v>
      </c>
      <c r="S188" s="76"/>
      <c r="T188" s="76">
        <v>15060.25</v>
      </c>
      <c r="U188" s="76"/>
      <c r="V188" s="76">
        <v>0</v>
      </c>
      <c r="W188" s="76"/>
      <c r="X188" s="76">
        <v>0</v>
      </c>
      <c r="Y188" s="76"/>
      <c r="Z188" s="76">
        <v>15000</v>
      </c>
      <c r="AA188" s="76"/>
      <c r="AB188" s="76">
        <v>0</v>
      </c>
      <c r="AC188" s="76"/>
      <c r="AD188" s="76">
        <v>0</v>
      </c>
      <c r="AE188" s="76"/>
      <c r="AF188" s="76">
        <f t="shared" si="6"/>
        <v>667896.13</v>
      </c>
    </row>
    <row r="189" spans="1:32" s="4" customFormat="1">
      <c r="A189" s="4">
        <v>259</v>
      </c>
      <c r="B189" s="4" t="s">
        <v>307</v>
      </c>
      <c r="D189" s="4" t="s">
        <v>61</v>
      </c>
      <c r="F189" s="6">
        <v>0</v>
      </c>
      <c r="G189" s="6"/>
      <c r="H189" s="6">
        <v>257409.53</v>
      </c>
      <c r="I189" s="6"/>
      <c r="J189" s="6">
        <v>0</v>
      </c>
      <c r="K189" s="6"/>
      <c r="L189" s="6">
        <v>0</v>
      </c>
      <c r="M189" s="6"/>
      <c r="N189" s="6">
        <v>0</v>
      </c>
      <c r="O189" s="6"/>
      <c r="P189" s="6">
        <v>0</v>
      </c>
      <c r="Q189" s="6"/>
      <c r="R189" s="6">
        <v>0</v>
      </c>
      <c r="S189" s="6"/>
      <c r="T189" s="6">
        <v>2603.1799999999998</v>
      </c>
      <c r="U189" s="6"/>
      <c r="V189" s="6">
        <v>0</v>
      </c>
      <c r="W189" s="6"/>
      <c r="X189" s="6">
        <v>0</v>
      </c>
      <c r="Y189" s="6"/>
      <c r="Z189" s="6">
        <v>0</v>
      </c>
      <c r="AA189" s="6"/>
      <c r="AB189" s="6">
        <v>0</v>
      </c>
      <c r="AC189" s="6"/>
      <c r="AD189" s="6">
        <v>0</v>
      </c>
      <c r="AE189" s="6"/>
      <c r="AF189" s="6">
        <f t="shared" si="6"/>
        <v>260012.71</v>
      </c>
    </row>
    <row r="190" spans="1:32" s="4" customFormat="1">
      <c r="A190" s="4">
        <v>168</v>
      </c>
      <c r="B190" s="4" t="s">
        <v>501</v>
      </c>
      <c r="D190" s="4" t="s">
        <v>62</v>
      </c>
      <c r="F190" s="6">
        <v>0</v>
      </c>
      <c r="G190" s="6"/>
      <c r="H190" s="6">
        <v>447718.44</v>
      </c>
      <c r="I190" s="6"/>
      <c r="J190" s="6">
        <v>0</v>
      </c>
      <c r="K190" s="6"/>
      <c r="L190" s="6">
        <v>0</v>
      </c>
      <c r="M190" s="6"/>
      <c r="N190" s="6">
        <v>0</v>
      </c>
      <c r="O190" s="6"/>
      <c r="P190" s="6">
        <v>0</v>
      </c>
      <c r="Q190" s="6"/>
      <c r="R190" s="6">
        <v>0</v>
      </c>
      <c r="S190" s="6"/>
      <c r="T190" s="6">
        <v>90</v>
      </c>
      <c r="U190" s="6"/>
      <c r="V190" s="6">
        <v>0</v>
      </c>
      <c r="W190" s="6"/>
      <c r="X190" s="6">
        <v>0</v>
      </c>
      <c r="Y190" s="6"/>
      <c r="Z190" s="6">
        <v>0</v>
      </c>
      <c r="AA190" s="6"/>
      <c r="AB190" s="6">
        <v>0</v>
      </c>
      <c r="AC190" s="6"/>
      <c r="AD190" s="6">
        <v>0</v>
      </c>
      <c r="AE190" s="6"/>
      <c r="AF190" s="6">
        <f t="shared" si="6"/>
        <v>447808.44</v>
      </c>
    </row>
    <row r="191" spans="1:32" s="4" customFormat="1">
      <c r="A191" s="4">
        <v>111</v>
      </c>
      <c r="B191" s="4" t="s">
        <v>200</v>
      </c>
      <c r="D191" s="4" t="s">
        <v>87</v>
      </c>
      <c r="F191" s="4">
        <v>998</v>
      </c>
      <c r="H191" s="4">
        <v>120115</v>
      </c>
      <c r="J191" s="4">
        <v>0</v>
      </c>
      <c r="L191" s="4">
        <v>2830</v>
      </c>
      <c r="N191" s="4">
        <v>0</v>
      </c>
      <c r="P191" s="4">
        <v>0</v>
      </c>
      <c r="R191" s="4">
        <v>0</v>
      </c>
      <c r="T191" s="4">
        <v>0</v>
      </c>
      <c r="V191" s="4">
        <v>0</v>
      </c>
      <c r="X191" s="4">
        <v>0</v>
      </c>
      <c r="Z191" s="4">
        <v>0</v>
      </c>
      <c r="AB191" s="4">
        <v>0</v>
      </c>
      <c r="AD191" s="4">
        <v>0</v>
      </c>
      <c r="AF191" s="4">
        <f t="shared" si="6"/>
        <v>123943</v>
      </c>
    </row>
    <row r="192" spans="1:32" s="4" customFormat="1">
      <c r="A192" s="4">
        <v>248</v>
      </c>
      <c r="B192" s="4" t="s">
        <v>201</v>
      </c>
      <c r="D192" s="4" t="s">
        <v>202</v>
      </c>
      <c r="F192" s="4">
        <v>0</v>
      </c>
      <c r="H192" s="4">
        <v>2923</v>
      </c>
      <c r="J192" s="4">
        <v>27382</v>
      </c>
      <c r="L192" s="4">
        <v>39414</v>
      </c>
      <c r="N192" s="4">
        <v>112905</v>
      </c>
      <c r="P192" s="4">
        <v>0</v>
      </c>
      <c r="R192" s="4">
        <v>0</v>
      </c>
      <c r="T192" s="4">
        <v>16523</v>
      </c>
      <c r="V192" s="4">
        <v>0</v>
      </c>
      <c r="X192" s="4">
        <v>0</v>
      </c>
      <c r="Z192" s="4">
        <v>0</v>
      </c>
      <c r="AB192" s="4">
        <v>0</v>
      </c>
      <c r="AD192" s="4">
        <v>0</v>
      </c>
      <c r="AF192" s="4">
        <f t="shared" si="6"/>
        <v>199147</v>
      </c>
    </row>
    <row r="193" spans="1:32" s="4" customFormat="1">
      <c r="A193" s="4">
        <v>127</v>
      </c>
      <c r="B193" s="4" t="s">
        <v>203</v>
      </c>
      <c r="D193" s="4" t="s">
        <v>13</v>
      </c>
      <c r="F193" s="4">
        <v>0</v>
      </c>
      <c r="H193" s="4">
        <v>2501890</v>
      </c>
      <c r="J193" s="4">
        <v>0</v>
      </c>
      <c r="L193" s="4">
        <v>0</v>
      </c>
      <c r="N193" s="4">
        <v>0</v>
      </c>
      <c r="P193" s="4">
        <v>0</v>
      </c>
      <c r="R193" s="4">
        <v>0</v>
      </c>
      <c r="T193" s="4">
        <v>107145</v>
      </c>
      <c r="V193" s="4">
        <v>540000</v>
      </c>
      <c r="X193" s="4">
        <v>369637</v>
      </c>
      <c r="Z193" s="4">
        <v>370000</v>
      </c>
      <c r="AB193" s="4">
        <v>0</v>
      </c>
      <c r="AD193" s="4">
        <v>0</v>
      </c>
      <c r="AF193" s="4">
        <f t="shared" si="6"/>
        <v>3888672</v>
      </c>
    </row>
    <row r="194" spans="1:32" s="4" customFormat="1">
      <c r="A194" s="4">
        <v>175</v>
      </c>
      <c r="B194" s="4" t="s">
        <v>204</v>
      </c>
      <c r="D194" s="4" t="s">
        <v>66</v>
      </c>
      <c r="F194" s="6">
        <v>79541</v>
      </c>
      <c r="G194" s="6"/>
      <c r="H194" s="6">
        <v>192046.93</v>
      </c>
      <c r="I194" s="6"/>
      <c r="J194" s="6">
        <v>0</v>
      </c>
      <c r="K194" s="6"/>
      <c r="L194" s="6">
        <v>0</v>
      </c>
      <c r="M194" s="6"/>
      <c r="N194" s="6">
        <v>0</v>
      </c>
      <c r="O194" s="6"/>
      <c r="P194" s="6">
        <v>0</v>
      </c>
      <c r="Q194" s="6"/>
      <c r="R194" s="6">
        <v>0</v>
      </c>
      <c r="S194" s="6"/>
      <c r="T194" s="6">
        <v>0</v>
      </c>
      <c r="U194" s="6"/>
      <c r="V194" s="6">
        <v>0</v>
      </c>
      <c r="W194" s="6"/>
      <c r="X194" s="6">
        <v>0</v>
      </c>
      <c r="Y194" s="6"/>
      <c r="Z194" s="6">
        <v>0</v>
      </c>
      <c r="AA194" s="6"/>
      <c r="AB194" s="6">
        <v>0</v>
      </c>
      <c r="AC194" s="6"/>
      <c r="AD194" s="6">
        <v>0</v>
      </c>
      <c r="AE194" s="6"/>
      <c r="AF194" s="6">
        <f t="shared" si="6"/>
        <v>271587.93</v>
      </c>
    </row>
    <row r="195" spans="1:32" s="4" customFormat="1">
      <c r="A195" s="4">
        <v>150</v>
      </c>
      <c r="B195" s="4" t="s">
        <v>205</v>
      </c>
      <c r="D195" s="4" t="s">
        <v>10</v>
      </c>
      <c r="F195" s="6">
        <v>0</v>
      </c>
      <c r="G195" s="6"/>
      <c r="H195" s="6">
        <v>212148.54</v>
      </c>
      <c r="I195" s="6"/>
      <c r="J195" s="6">
        <v>0</v>
      </c>
      <c r="K195" s="6"/>
      <c r="L195" s="6">
        <v>3780</v>
      </c>
      <c r="M195" s="6"/>
      <c r="N195" s="6">
        <v>0</v>
      </c>
      <c r="O195" s="6"/>
      <c r="P195" s="6">
        <v>0</v>
      </c>
      <c r="Q195" s="6"/>
      <c r="R195" s="6">
        <v>0</v>
      </c>
      <c r="S195" s="6"/>
      <c r="T195" s="6">
        <v>288</v>
      </c>
      <c r="U195" s="6"/>
      <c r="V195" s="6">
        <v>0</v>
      </c>
      <c r="W195" s="6"/>
      <c r="X195" s="6">
        <v>0</v>
      </c>
      <c r="Y195" s="6"/>
      <c r="Z195" s="6">
        <v>0</v>
      </c>
      <c r="AA195" s="6"/>
      <c r="AB195" s="6">
        <v>0</v>
      </c>
      <c r="AC195" s="6"/>
      <c r="AD195" s="6">
        <v>0</v>
      </c>
      <c r="AE195" s="6"/>
      <c r="AF195" s="6">
        <f t="shared" si="6"/>
        <v>216216.54</v>
      </c>
    </row>
    <row r="196" spans="1:32" s="4" customFormat="1">
      <c r="A196" s="4">
        <v>122</v>
      </c>
      <c r="B196" s="4" t="s">
        <v>425</v>
      </c>
      <c r="D196" s="4" t="s">
        <v>14</v>
      </c>
      <c r="F196" s="4">
        <v>210489</v>
      </c>
      <c r="H196" s="4">
        <f>370581+33525+1278097+343064</f>
        <v>2025267</v>
      </c>
      <c r="J196" s="4">
        <v>0</v>
      </c>
      <c r="L196" s="4">
        <v>0</v>
      </c>
      <c r="N196" s="4">
        <v>0</v>
      </c>
      <c r="P196" s="4">
        <v>75121</v>
      </c>
      <c r="R196" s="4">
        <v>4941</v>
      </c>
      <c r="T196" s="4">
        <f>49735+186835</f>
        <v>236570</v>
      </c>
      <c r="V196" s="4">
        <v>35513</v>
      </c>
      <c r="X196" s="4">
        <v>100035</v>
      </c>
      <c r="Z196" s="4">
        <v>310400</v>
      </c>
      <c r="AB196" s="4">
        <v>0</v>
      </c>
      <c r="AD196" s="4">
        <v>0</v>
      </c>
      <c r="AF196" s="4">
        <f t="shared" si="6"/>
        <v>2998336</v>
      </c>
    </row>
    <row r="197" spans="1:32" s="4" customFormat="1">
      <c r="A197" s="4">
        <v>178</v>
      </c>
      <c r="B197" s="4" t="s">
        <v>593</v>
      </c>
      <c r="D197" s="4" t="s">
        <v>207</v>
      </c>
      <c r="F197" s="4">
        <v>111296</v>
      </c>
      <c r="H197" s="4">
        <v>1345893</v>
      </c>
      <c r="J197" s="4">
        <v>701993</v>
      </c>
      <c r="L197" s="4">
        <v>423360</v>
      </c>
      <c r="N197" s="4">
        <v>778406</v>
      </c>
      <c r="P197" s="4">
        <v>0</v>
      </c>
      <c r="R197" s="4">
        <v>0</v>
      </c>
      <c r="T197" s="4">
        <v>225782</v>
      </c>
      <c r="V197" s="4">
        <v>0</v>
      </c>
      <c r="X197" s="4">
        <v>0</v>
      </c>
      <c r="Z197" s="4">
        <v>1675</v>
      </c>
      <c r="AB197" s="4">
        <v>15600</v>
      </c>
      <c r="AD197" s="4">
        <v>0</v>
      </c>
      <c r="AF197" s="4">
        <f t="shared" si="6"/>
        <v>3604005</v>
      </c>
    </row>
    <row r="198" spans="1:32" s="4" customFormat="1">
      <c r="A198" s="4">
        <v>105</v>
      </c>
      <c r="B198" s="4" t="s">
        <v>330</v>
      </c>
      <c r="D198" s="4" t="s">
        <v>58</v>
      </c>
      <c r="F198" s="6">
        <v>197599.62</v>
      </c>
      <c r="G198" s="6"/>
      <c r="H198" s="6">
        <v>212531.7</v>
      </c>
      <c r="I198" s="6"/>
      <c r="J198" s="6">
        <v>0</v>
      </c>
      <c r="K198" s="6"/>
      <c r="L198" s="6">
        <v>71569.55</v>
      </c>
      <c r="M198" s="6"/>
      <c r="N198" s="6">
        <v>74843.070000000007</v>
      </c>
      <c r="O198" s="6"/>
      <c r="P198" s="6">
        <v>0</v>
      </c>
      <c r="Q198" s="6"/>
      <c r="R198" s="6">
        <v>0</v>
      </c>
      <c r="S198" s="6"/>
      <c r="T198" s="6">
        <v>775.09</v>
      </c>
      <c r="U198" s="6"/>
      <c r="V198" s="6">
        <v>0</v>
      </c>
      <c r="W198" s="6"/>
      <c r="X198" s="6">
        <v>0</v>
      </c>
      <c r="Y198" s="6"/>
      <c r="Z198" s="6">
        <v>100000</v>
      </c>
      <c r="AA198" s="6"/>
      <c r="AB198" s="6">
        <v>0</v>
      </c>
      <c r="AC198" s="6"/>
      <c r="AD198" s="6">
        <v>27018.75</v>
      </c>
      <c r="AE198" s="6"/>
      <c r="AF198" s="6">
        <f t="shared" si="6"/>
        <v>684337.77999999991</v>
      </c>
    </row>
    <row r="199" spans="1:32" s="4" customFormat="1" hidden="1">
      <c r="A199" s="4">
        <v>16</v>
      </c>
      <c r="B199" s="4" t="s">
        <v>454</v>
      </c>
      <c r="D199" s="4" t="s">
        <v>208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F199" s="4">
        <f t="shared" si="6"/>
        <v>0</v>
      </c>
    </row>
    <row r="200" spans="1:32" s="4" customFormat="1" hidden="1">
      <c r="A200" s="4">
        <v>228</v>
      </c>
      <c r="B200" s="4" t="s">
        <v>434</v>
      </c>
      <c r="D200" s="4" t="s">
        <v>54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F200" s="4">
        <f t="shared" si="6"/>
        <v>0</v>
      </c>
    </row>
    <row r="201" spans="1:32" s="4" customFormat="1">
      <c r="A201" s="4">
        <v>33</v>
      </c>
      <c r="B201" s="4" t="s">
        <v>455</v>
      </c>
      <c r="D201" s="4" t="s">
        <v>112</v>
      </c>
      <c r="F201" s="6">
        <v>0</v>
      </c>
      <c r="G201" s="6"/>
      <c r="H201" s="6">
        <v>465310.4</v>
      </c>
      <c r="I201" s="6"/>
      <c r="J201" s="6">
        <v>0</v>
      </c>
      <c r="K201" s="6"/>
      <c r="L201" s="6">
        <v>0</v>
      </c>
      <c r="M201" s="6"/>
      <c r="N201" s="6">
        <v>0</v>
      </c>
      <c r="O201" s="6"/>
      <c r="P201" s="6">
        <v>0</v>
      </c>
      <c r="Q201" s="6"/>
      <c r="R201" s="6">
        <v>0</v>
      </c>
      <c r="S201" s="6"/>
      <c r="T201" s="6">
        <v>0</v>
      </c>
      <c r="U201" s="6"/>
      <c r="V201" s="6">
        <v>0</v>
      </c>
      <c r="W201" s="6"/>
      <c r="X201" s="6">
        <v>0</v>
      </c>
      <c r="Y201" s="6"/>
      <c r="Z201" s="6">
        <v>0</v>
      </c>
      <c r="AA201" s="6"/>
      <c r="AB201" s="6">
        <v>0</v>
      </c>
      <c r="AC201" s="6"/>
      <c r="AD201" s="6">
        <v>0</v>
      </c>
      <c r="AE201" s="6"/>
      <c r="AF201" s="6">
        <f t="shared" si="6"/>
        <v>465310.4</v>
      </c>
    </row>
    <row r="202" spans="1:32" s="4" customFormat="1">
      <c r="A202" s="4">
        <v>112</v>
      </c>
      <c r="B202" s="4" t="s">
        <v>337</v>
      </c>
      <c r="D202" s="4" t="s">
        <v>87</v>
      </c>
      <c r="F202" s="4">
        <v>0</v>
      </c>
      <c r="H202" s="4">
        <v>155715</v>
      </c>
      <c r="J202" s="4">
        <v>0</v>
      </c>
      <c r="L202" s="4">
        <v>95406</v>
      </c>
      <c r="N202" s="4">
        <v>0</v>
      </c>
      <c r="P202" s="4">
        <v>0</v>
      </c>
      <c r="R202" s="4">
        <v>0</v>
      </c>
      <c r="T202" s="4">
        <v>4208</v>
      </c>
      <c r="V202" s="4">
        <v>0</v>
      </c>
      <c r="X202" s="4">
        <v>0</v>
      </c>
      <c r="Z202" s="4">
        <v>153068</v>
      </c>
      <c r="AB202" s="4">
        <v>0</v>
      </c>
      <c r="AD202" s="4">
        <v>0</v>
      </c>
      <c r="AF202" s="4">
        <f t="shared" ref="AF202:AF236" si="7">SUM(F202:AD202)</f>
        <v>408397</v>
      </c>
    </row>
    <row r="203" spans="1:32" s="4" customFormat="1">
      <c r="A203" s="4">
        <v>60</v>
      </c>
      <c r="B203" s="4" t="s">
        <v>209</v>
      </c>
      <c r="D203" s="4" t="s">
        <v>79</v>
      </c>
      <c r="F203" s="6">
        <v>0</v>
      </c>
      <c r="G203" s="6"/>
      <c r="H203" s="6">
        <v>271042.39</v>
      </c>
      <c r="I203" s="6"/>
      <c r="J203" s="6">
        <v>0</v>
      </c>
      <c r="K203" s="6"/>
      <c r="L203" s="6">
        <v>0</v>
      </c>
      <c r="M203" s="6"/>
      <c r="N203" s="6">
        <v>0</v>
      </c>
      <c r="O203" s="6"/>
      <c r="P203" s="6">
        <v>0</v>
      </c>
      <c r="Q203" s="6"/>
      <c r="R203" s="6">
        <v>0</v>
      </c>
      <c r="S203" s="6"/>
      <c r="T203" s="6">
        <v>2240.4899999999998</v>
      </c>
      <c r="U203" s="6"/>
      <c r="V203" s="6">
        <v>0</v>
      </c>
      <c r="W203" s="6"/>
      <c r="X203" s="6">
        <v>0</v>
      </c>
      <c r="Y203" s="6"/>
      <c r="Z203" s="6">
        <v>0</v>
      </c>
      <c r="AA203" s="6"/>
      <c r="AB203" s="6">
        <v>0</v>
      </c>
      <c r="AC203" s="6"/>
      <c r="AD203" s="6">
        <v>0</v>
      </c>
      <c r="AE203" s="6"/>
      <c r="AF203" s="6">
        <f t="shared" si="7"/>
        <v>273282.88</v>
      </c>
    </row>
    <row r="204" spans="1:32" s="4" customFormat="1">
      <c r="A204" s="4">
        <v>186</v>
      </c>
      <c r="B204" s="4" t="s">
        <v>456</v>
      </c>
      <c r="D204" s="4" t="s">
        <v>64</v>
      </c>
      <c r="F204" s="6">
        <v>0</v>
      </c>
      <c r="G204" s="6"/>
      <c r="H204" s="6">
        <v>100415.22</v>
      </c>
      <c r="I204" s="6"/>
      <c r="J204" s="6">
        <v>0</v>
      </c>
      <c r="K204" s="6"/>
      <c r="L204" s="6">
        <v>0</v>
      </c>
      <c r="M204" s="6"/>
      <c r="N204" s="6">
        <v>0</v>
      </c>
      <c r="O204" s="6"/>
      <c r="P204" s="6">
        <v>0</v>
      </c>
      <c r="Q204" s="6"/>
      <c r="R204" s="6">
        <v>0</v>
      </c>
      <c r="S204" s="6"/>
      <c r="T204" s="6">
        <v>0</v>
      </c>
      <c r="U204" s="6"/>
      <c r="V204" s="6">
        <v>0</v>
      </c>
      <c r="W204" s="6"/>
      <c r="X204" s="6">
        <v>0</v>
      </c>
      <c r="Y204" s="6"/>
      <c r="Z204" s="6">
        <v>0</v>
      </c>
      <c r="AA204" s="6"/>
      <c r="AB204" s="6">
        <v>0</v>
      </c>
      <c r="AC204" s="6"/>
      <c r="AD204" s="6">
        <v>0</v>
      </c>
      <c r="AE204" s="6"/>
      <c r="AF204" s="6">
        <f t="shared" si="7"/>
        <v>100415.22</v>
      </c>
    </row>
    <row r="205" spans="1:32" s="4" customFormat="1">
      <c r="A205" s="4">
        <v>235</v>
      </c>
      <c r="B205" s="4" t="s">
        <v>210</v>
      </c>
      <c r="D205" s="4" t="s">
        <v>24</v>
      </c>
      <c r="F205" s="6">
        <v>0</v>
      </c>
      <c r="G205" s="6"/>
      <c r="H205" s="6">
        <v>255305.58</v>
      </c>
      <c r="I205" s="6"/>
      <c r="J205" s="6">
        <v>0</v>
      </c>
      <c r="K205" s="6"/>
      <c r="L205" s="6">
        <v>0</v>
      </c>
      <c r="M205" s="6"/>
      <c r="N205" s="6">
        <v>0</v>
      </c>
      <c r="O205" s="6"/>
      <c r="P205" s="6">
        <v>0</v>
      </c>
      <c r="Q205" s="6"/>
      <c r="R205" s="6">
        <v>0</v>
      </c>
      <c r="S205" s="6"/>
      <c r="T205" s="6">
        <v>1860.8</v>
      </c>
      <c r="U205" s="6"/>
      <c r="V205" s="6">
        <v>12000</v>
      </c>
      <c r="W205" s="6"/>
      <c r="X205" s="6">
        <v>11666</v>
      </c>
      <c r="Y205" s="6"/>
      <c r="Z205" s="6">
        <v>44767.73</v>
      </c>
      <c r="AA205" s="6"/>
      <c r="AB205" s="6">
        <v>0</v>
      </c>
      <c r="AC205" s="6"/>
      <c r="AD205" s="6">
        <v>545.39</v>
      </c>
      <c r="AE205" s="6"/>
      <c r="AF205" s="6">
        <f t="shared" si="7"/>
        <v>326145.5</v>
      </c>
    </row>
    <row r="206" spans="1:32" s="4" customFormat="1">
      <c r="A206" s="4">
        <v>229</v>
      </c>
      <c r="B206" s="4" t="s">
        <v>211</v>
      </c>
      <c r="D206" s="4" t="s">
        <v>54</v>
      </c>
      <c r="F206" s="4">
        <v>191786</v>
      </c>
      <c r="H206" s="4">
        <v>9923</v>
      </c>
      <c r="J206" s="4">
        <v>118950</v>
      </c>
      <c r="L206" s="4">
        <v>94315</v>
      </c>
      <c r="N206" s="4">
        <v>184552</v>
      </c>
      <c r="P206" s="4">
        <v>0</v>
      </c>
      <c r="R206" s="4">
        <v>0</v>
      </c>
      <c r="T206" s="4">
        <v>82010</v>
      </c>
      <c r="V206" s="4">
        <v>0</v>
      </c>
      <c r="X206" s="4">
        <v>0</v>
      </c>
      <c r="Z206" s="4">
        <v>0</v>
      </c>
      <c r="AB206" s="4">
        <v>0</v>
      </c>
      <c r="AD206" s="4">
        <v>0</v>
      </c>
      <c r="AF206" s="4">
        <f t="shared" si="7"/>
        <v>681536</v>
      </c>
    </row>
    <row r="207" spans="1:32" s="4" customFormat="1">
      <c r="A207" s="4">
        <v>85</v>
      </c>
      <c r="B207" s="4" t="s">
        <v>214</v>
      </c>
      <c r="D207" s="4" t="s">
        <v>40</v>
      </c>
      <c r="F207" s="6">
        <v>0</v>
      </c>
      <c r="G207" s="6"/>
      <c r="H207" s="6">
        <v>105403.36</v>
      </c>
      <c r="I207" s="6"/>
      <c r="J207" s="6">
        <v>0</v>
      </c>
      <c r="K207" s="6"/>
      <c r="L207" s="6">
        <v>0</v>
      </c>
      <c r="M207" s="6"/>
      <c r="N207" s="6">
        <v>0</v>
      </c>
      <c r="O207" s="6"/>
      <c r="P207" s="6">
        <v>0</v>
      </c>
      <c r="Q207" s="6"/>
      <c r="R207" s="6">
        <v>0</v>
      </c>
      <c r="S207" s="6"/>
      <c r="T207" s="6">
        <v>5465.62</v>
      </c>
      <c r="U207" s="6"/>
      <c r="V207" s="6">
        <v>0</v>
      </c>
      <c r="W207" s="6"/>
      <c r="X207" s="6">
        <v>0</v>
      </c>
      <c r="Y207" s="6"/>
      <c r="Z207" s="6">
        <v>0</v>
      </c>
      <c r="AA207" s="6"/>
      <c r="AB207" s="6">
        <v>0</v>
      </c>
      <c r="AC207" s="6"/>
      <c r="AD207" s="6">
        <v>0</v>
      </c>
      <c r="AE207" s="6"/>
      <c r="AF207" s="6">
        <f t="shared" si="7"/>
        <v>110868.98</v>
      </c>
    </row>
    <row r="208" spans="1:32" s="4" customFormat="1">
      <c r="A208" s="4">
        <v>250</v>
      </c>
      <c r="B208" s="4" t="s">
        <v>215</v>
      </c>
      <c r="D208" s="4" t="s">
        <v>63</v>
      </c>
      <c r="F208" s="6">
        <v>0</v>
      </c>
      <c r="G208" s="6"/>
      <c r="H208" s="6">
        <v>83723</v>
      </c>
      <c r="I208" s="6"/>
      <c r="J208" s="6">
        <v>105049.04</v>
      </c>
      <c r="K208" s="6"/>
      <c r="L208" s="6">
        <v>72429.02</v>
      </c>
      <c r="M208" s="6"/>
      <c r="N208" s="6">
        <v>100664.69</v>
      </c>
      <c r="O208" s="6"/>
      <c r="P208" s="6">
        <v>0</v>
      </c>
      <c r="Q208" s="6"/>
      <c r="R208" s="6">
        <v>0</v>
      </c>
      <c r="S208" s="6"/>
      <c r="T208" s="6">
        <v>4523.83</v>
      </c>
      <c r="U208" s="6"/>
      <c r="V208" s="6">
        <v>0</v>
      </c>
      <c r="W208" s="6"/>
      <c r="X208" s="6">
        <v>0</v>
      </c>
      <c r="Y208" s="6"/>
      <c r="Z208" s="6">
        <v>0</v>
      </c>
      <c r="AA208" s="6"/>
      <c r="AB208" s="6">
        <v>0</v>
      </c>
      <c r="AC208" s="6"/>
      <c r="AD208" s="6">
        <v>0</v>
      </c>
      <c r="AE208" s="6"/>
      <c r="AF208" s="6">
        <f t="shared" si="7"/>
        <v>366389.58</v>
      </c>
    </row>
    <row r="209" spans="1:32" s="4" customFormat="1">
      <c r="A209" s="4">
        <v>213</v>
      </c>
      <c r="B209" s="4" t="s">
        <v>216</v>
      </c>
      <c r="D209" s="4" t="s">
        <v>23</v>
      </c>
      <c r="F209" s="4">
        <v>105433</v>
      </c>
      <c r="H209" s="4">
        <v>536990</v>
      </c>
      <c r="J209" s="4">
        <v>443809</v>
      </c>
      <c r="L209" s="4">
        <v>133568</v>
      </c>
      <c r="N209" s="4">
        <v>313165</v>
      </c>
      <c r="P209" s="4">
        <v>0</v>
      </c>
      <c r="R209" s="4">
        <v>0</v>
      </c>
      <c r="T209" s="4">
        <v>87942</v>
      </c>
      <c r="V209" s="4">
        <v>0</v>
      </c>
      <c r="X209" s="4">
        <v>0</v>
      </c>
      <c r="Z209" s="4">
        <v>250000</v>
      </c>
      <c r="AB209" s="4">
        <v>0</v>
      </c>
      <c r="AD209" s="4">
        <v>0</v>
      </c>
      <c r="AF209" s="4">
        <f t="shared" si="7"/>
        <v>1870907</v>
      </c>
    </row>
    <row r="210" spans="1:32" s="4" customFormat="1">
      <c r="B210" s="3" t="s">
        <v>607</v>
      </c>
      <c r="C210" s="3"/>
      <c r="D210" s="3" t="s">
        <v>54</v>
      </c>
      <c r="F210" s="4">
        <v>1979817</v>
      </c>
      <c r="H210" s="4">
        <f>19059+475277</f>
        <v>494336</v>
      </c>
      <c r="J210" s="4">
        <v>0</v>
      </c>
      <c r="L210" s="4">
        <v>0</v>
      </c>
      <c r="N210" s="4">
        <v>0</v>
      </c>
      <c r="P210" s="4">
        <v>5942</v>
      </c>
      <c r="R210" s="4">
        <v>63418</v>
      </c>
      <c r="T210" s="4">
        <v>161663</v>
      </c>
      <c r="V210" s="4">
        <v>0</v>
      </c>
      <c r="X210" s="4">
        <v>0</v>
      </c>
      <c r="Z210" s="4">
        <v>0</v>
      </c>
      <c r="AB210" s="4">
        <v>0</v>
      </c>
      <c r="AD210" s="4">
        <v>0</v>
      </c>
      <c r="AF210" s="4">
        <f t="shared" si="7"/>
        <v>2705176</v>
      </c>
    </row>
    <row r="211" spans="1:32" s="4" customFormat="1" ht="12" customHeight="1">
      <c r="A211" s="4">
        <v>251</v>
      </c>
      <c r="B211" s="4" t="s">
        <v>436</v>
      </c>
      <c r="D211" s="4" t="s">
        <v>63</v>
      </c>
      <c r="F211" s="4">
        <v>104553</v>
      </c>
      <c r="H211" s="4">
        <f>4694+142277+32674</f>
        <v>179645</v>
      </c>
      <c r="J211" s="4">
        <v>0</v>
      </c>
      <c r="L211" s="4">
        <v>0</v>
      </c>
      <c r="N211" s="4">
        <v>0</v>
      </c>
      <c r="P211" s="4">
        <v>5142</v>
      </c>
      <c r="R211" s="4">
        <v>447</v>
      </c>
      <c r="T211" s="4">
        <v>3872</v>
      </c>
      <c r="V211" s="4">
        <v>0</v>
      </c>
      <c r="X211" s="4">
        <v>0</v>
      </c>
      <c r="Z211" s="4">
        <v>48622</v>
      </c>
      <c r="AB211" s="4">
        <v>0</v>
      </c>
      <c r="AD211" s="4">
        <v>0</v>
      </c>
      <c r="AF211" s="4">
        <f t="shared" si="7"/>
        <v>342281</v>
      </c>
    </row>
    <row r="212" spans="1:32" s="4" customFormat="1">
      <c r="A212" s="4">
        <v>113</v>
      </c>
      <c r="B212" s="4" t="s">
        <v>217</v>
      </c>
      <c r="D212" s="4" t="s">
        <v>87</v>
      </c>
      <c r="F212" s="76">
        <v>0</v>
      </c>
      <c r="G212" s="76"/>
      <c r="H212" s="76">
        <v>648444.4</v>
      </c>
      <c r="I212" s="76"/>
      <c r="J212" s="76">
        <v>0</v>
      </c>
      <c r="K212" s="76"/>
      <c r="L212" s="76">
        <v>0</v>
      </c>
      <c r="M212" s="76"/>
      <c r="N212" s="76">
        <v>0</v>
      </c>
      <c r="O212" s="76"/>
      <c r="P212" s="76">
        <v>0</v>
      </c>
      <c r="Q212" s="76"/>
      <c r="R212" s="76">
        <v>0</v>
      </c>
      <c r="S212" s="76"/>
      <c r="T212" s="76">
        <v>39194.980000000003</v>
      </c>
      <c r="U212" s="76"/>
      <c r="V212" s="76">
        <v>0</v>
      </c>
      <c r="W212" s="76"/>
      <c r="X212" s="76">
        <v>0</v>
      </c>
      <c r="Y212" s="76"/>
      <c r="Z212" s="76">
        <v>125000</v>
      </c>
      <c r="AA212" s="76"/>
      <c r="AB212" s="76">
        <v>0</v>
      </c>
      <c r="AC212" s="76"/>
      <c r="AD212" s="76">
        <v>0</v>
      </c>
      <c r="AE212" s="76"/>
      <c r="AF212" s="76">
        <f t="shared" si="7"/>
        <v>812639.38</v>
      </c>
    </row>
    <row r="213" spans="1:32" s="4" customFormat="1">
      <c r="A213" s="4">
        <v>183</v>
      </c>
      <c r="B213" s="4" t="s">
        <v>218</v>
      </c>
      <c r="D213" s="4" t="s">
        <v>156</v>
      </c>
      <c r="F213" s="4">
        <v>0</v>
      </c>
      <c r="H213" s="4">
        <v>243688</v>
      </c>
      <c r="J213" s="4">
        <v>0</v>
      </c>
      <c r="L213" s="4">
        <v>0</v>
      </c>
      <c r="N213" s="4">
        <v>0</v>
      </c>
      <c r="P213" s="4">
        <v>0</v>
      </c>
      <c r="R213" s="4">
        <v>0</v>
      </c>
      <c r="T213" s="4">
        <v>0</v>
      </c>
      <c r="V213" s="4">
        <v>0</v>
      </c>
      <c r="X213" s="4">
        <v>0</v>
      </c>
      <c r="Z213" s="4">
        <v>0</v>
      </c>
      <c r="AB213" s="4">
        <v>0</v>
      </c>
      <c r="AD213" s="4">
        <v>0</v>
      </c>
      <c r="AF213" s="4">
        <f t="shared" si="7"/>
        <v>243688</v>
      </c>
    </row>
    <row r="214" spans="1:32" s="4" customFormat="1" hidden="1">
      <c r="A214" s="4">
        <v>116</v>
      </c>
      <c r="B214" s="4" t="s">
        <v>219</v>
      </c>
      <c r="D214" s="4" t="s">
        <v>168</v>
      </c>
      <c r="AF214" s="4">
        <f t="shared" si="7"/>
        <v>0</v>
      </c>
    </row>
    <row r="215" spans="1:32" s="4" customFormat="1">
      <c r="A215" s="4">
        <v>146</v>
      </c>
      <c r="B215" s="4" t="s">
        <v>457</v>
      </c>
      <c r="D215" s="4" t="s">
        <v>55</v>
      </c>
      <c r="F215" s="76">
        <v>0</v>
      </c>
      <c r="G215" s="76"/>
      <c r="H215" s="76">
        <v>1100862.33</v>
      </c>
      <c r="I215" s="76"/>
      <c r="J215" s="76">
        <v>0</v>
      </c>
      <c r="K215" s="76"/>
      <c r="L215" s="76">
        <v>0</v>
      </c>
      <c r="M215" s="76"/>
      <c r="N215" s="76">
        <v>0</v>
      </c>
      <c r="O215" s="76"/>
      <c r="P215" s="76">
        <v>0</v>
      </c>
      <c r="Q215" s="76"/>
      <c r="R215" s="76">
        <v>0</v>
      </c>
      <c r="S215" s="76"/>
      <c r="T215" s="76">
        <v>300740.64</v>
      </c>
      <c r="U215" s="76"/>
      <c r="V215" s="76">
        <v>0</v>
      </c>
      <c r="W215" s="76"/>
      <c r="X215" s="76">
        <v>0</v>
      </c>
      <c r="Y215" s="76"/>
      <c r="Z215" s="76">
        <v>100000</v>
      </c>
      <c r="AA215" s="76"/>
      <c r="AB215" s="76">
        <v>0</v>
      </c>
      <c r="AC215" s="76"/>
      <c r="AD215" s="76">
        <v>0</v>
      </c>
      <c r="AE215" s="76"/>
      <c r="AF215" s="76">
        <f t="shared" si="7"/>
        <v>1501602.9700000002</v>
      </c>
    </row>
    <row r="216" spans="1:32" s="4" customFormat="1">
      <c r="A216" s="4">
        <v>246</v>
      </c>
      <c r="B216" s="4" t="s">
        <v>222</v>
      </c>
      <c r="D216" s="4" t="s">
        <v>223</v>
      </c>
      <c r="F216" s="4">
        <v>48929</v>
      </c>
      <c r="H216" s="4">
        <v>402727</v>
      </c>
      <c r="J216" s="4">
        <v>138348</v>
      </c>
      <c r="L216" s="4">
        <v>111033</v>
      </c>
      <c r="N216" s="4">
        <v>159943</v>
      </c>
      <c r="P216" s="4">
        <v>0</v>
      </c>
      <c r="R216" s="4">
        <v>0</v>
      </c>
      <c r="T216" s="4">
        <v>1422</v>
      </c>
      <c r="V216" s="4">
        <v>0</v>
      </c>
      <c r="X216" s="4">
        <v>0</v>
      </c>
      <c r="Z216" s="4">
        <v>0</v>
      </c>
      <c r="AB216" s="4">
        <v>0</v>
      </c>
      <c r="AD216" s="4">
        <v>0</v>
      </c>
      <c r="AF216" s="4">
        <f t="shared" si="7"/>
        <v>862402</v>
      </c>
    </row>
    <row r="217" spans="1:32" s="4" customFormat="1">
      <c r="A217" s="4">
        <v>136</v>
      </c>
      <c r="B217" s="4" t="s">
        <v>224</v>
      </c>
      <c r="D217" s="4" t="s">
        <v>39</v>
      </c>
      <c r="F217" s="6">
        <v>0</v>
      </c>
      <c r="G217" s="6"/>
      <c r="H217" s="6">
        <v>727129.69</v>
      </c>
      <c r="I217" s="6"/>
      <c r="J217" s="6">
        <v>0</v>
      </c>
      <c r="K217" s="6"/>
      <c r="L217" s="6">
        <v>0</v>
      </c>
      <c r="M217" s="6"/>
      <c r="N217" s="6">
        <v>0</v>
      </c>
      <c r="O217" s="6"/>
      <c r="P217" s="6">
        <v>0</v>
      </c>
      <c r="Q217" s="6"/>
      <c r="R217" s="6">
        <v>0</v>
      </c>
      <c r="S217" s="6"/>
      <c r="T217" s="6">
        <v>533929.66</v>
      </c>
      <c r="U217" s="6"/>
      <c r="V217" s="6">
        <v>0</v>
      </c>
      <c r="W217" s="6"/>
      <c r="X217" s="6">
        <v>0</v>
      </c>
      <c r="Y217" s="6"/>
      <c r="Z217" s="6">
        <v>0</v>
      </c>
      <c r="AA217" s="6"/>
      <c r="AB217" s="6">
        <v>0</v>
      </c>
      <c r="AC217" s="6"/>
      <c r="AD217" s="6">
        <v>36907.660000000003</v>
      </c>
      <c r="AE217" s="6"/>
      <c r="AF217" s="6">
        <f t="shared" si="7"/>
        <v>1297967.01</v>
      </c>
    </row>
    <row r="218" spans="1:32" s="4" customFormat="1">
      <c r="A218" s="4">
        <v>106</v>
      </c>
      <c r="B218" s="4" t="s">
        <v>225</v>
      </c>
      <c r="D218" s="4" t="s">
        <v>58</v>
      </c>
      <c r="F218" s="76">
        <v>0</v>
      </c>
      <c r="G218" s="76"/>
      <c r="H218" s="76">
        <v>201071.59</v>
      </c>
      <c r="I218" s="76"/>
      <c r="J218" s="76">
        <v>0</v>
      </c>
      <c r="K218" s="76"/>
      <c r="L218" s="76">
        <v>0</v>
      </c>
      <c r="M218" s="76"/>
      <c r="N218" s="76">
        <v>0</v>
      </c>
      <c r="O218" s="76"/>
      <c r="P218" s="76">
        <v>0</v>
      </c>
      <c r="Q218" s="76"/>
      <c r="R218" s="76">
        <v>0</v>
      </c>
      <c r="S218" s="76"/>
      <c r="T218" s="76">
        <v>3818.05</v>
      </c>
      <c r="U218" s="76"/>
      <c r="V218" s="76">
        <v>0</v>
      </c>
      <c r="W218" s="76"/>
      <c r="X218" s="76">
        <v>0</v>
      </c>
      <c r="Y218" s="76"/>
      <c r="Z218" s="76">
        <v>0</v>
      </c>
      <c r="AA218" s="76"/>
      <c r="AB218" s="76">
        <v>0</v>
      </c>
      <c r="AC218" s="76"/>
      <c r="AD218" s="76">
        <v>0</v>
      </c>
      <c r="AE218" s="76"/>
      <c r="AF218" s="76">
        <f t="shared" si="7"/>
        <v>204889.63999999998</v>
      </c>
    </row>
    <row r="219" spans="1:32" s="4" customFormat="1">
      <c r="A219" s="4">
        <v>184</v>
      </c>
      <c r="B219" s="4" t="s">
        <v>226</v>
      </c>
      <c r="D219" s="4" t="s">
        <v>227</v>
      </c>
      <c r="F219" s="6">
        <v>0</v>
      </c>
      <c r="G219" s="6"/>
      <c r="H219" s="6">
        <v>1109061</v>
      </c>
      <c r="I219" s="6"/>
      <c r="J219" s="6">
        <v>0</v>
      </c>
      <c r="K219" s="6"/>
      <c r="L219" s="6">
        <v>0</v>
      </c>
      <c r="M219" s="6"/>
      <c r="N219" s="6">
        <v>0</v>
      </c>
      <c r="O219" s="6"/>
      <c r="P219" s="6">
        <v>0</v>
      </c>
      <c r="Q219" s="6"/>
      <c r="R219" s="6">
        <v>0</v>
      </c>
      <c r="S219" s="6"/>
      <c r="T219" s="6">
        <v>0</v>
      </c>
      <c r="U219" s="6"/>
      <c r="V219" s="6">
        <v>0</v>
      </c>
      <c r="W219" s="6"/>
      <c r="X219" s="6">
        <v>0</v>
      </c>
      <c r="Y219" s="6"/>
      <c r="Z219" s="6">
        <v>0</v>
      </c>
      <c r="AA219" s="6"/>
      <c r="AB219" s="6">
        <v>0</v>
      </c>
      <c r="AC219" s="6"/>
      <c r="AD219" s="6">
        <v>0</v>
      </c>
      <c r="AE219" s="6"/>
      <c r="AF219" s="6">
        <f t="shared" si="7"/>
        <v>1109061</v>
      </c>
    </row>
    <row r="220" spans="1:32" s="4" customFormat="1">
      <c r="A220" s="4">
        <v>252</v>
      </c>
      <c r="B220" s="4" t="s">
        <v>229</v>
      </c>
      <c r="D220" s="4" t="s">
        <v>63</v>
      </c>
      <c r="F220" s="6">
        <v>0</v>
      </c>
      <c r="G220" s="6"/>
      <c r="H220" s="6">
        <v>313274.32</v>
      </c>
      <c r="I220" s="6"/>
      <c r="J220" s="6">
        <v>0</v>
      </c>
      <c r="K220" s="6"/>
      <c r="L220" s="6">
        <v>0</v>
      </c>
      <c r="M220" s="6"/>
      <c r="N220" s="6">
        <v>0</v>
      </c>
      <c r="O220" s="6"/>
      <c r="P220" s="6">
        <v>0</v>
      </c>
      <c r="Q220" s="6"/>
      <c r="R220" s="6">
        <v>0</v>
      </c>
      <c r="S220" s="6"/>
      <c r="T220" s="6">
        <v>11050.06</v>
      </c>
      <c r="U220" s="6"/>
      <c r="V220" s="6">
        <v>0</v>
      </c>
      <c r="W220" s="6"/>
      <c r="X220" s="6">
        <v>0</v>
      </c>
      <c r="Y220" s="6"/>
      <c r="Z220" s="6">
        <v>0</v>
      </c>
      <c r="AA220" s="6"/>
      <c r="AB220" s="6">
        <v>0</v>
      </c>
      <c r="AC220" s="6"/>
      <c r="AD220" s="6">
        <v>0</v>
      </c>
      <c r="AE220" s="6"/>
      <c r="AF220" s="6">
        <f t="shared" si="7"/>
        <v>324324.38</v>
      </c>
    </row>
    <row r="221" spans="1:32" s="4" customFormat="1">
      <c r="A221" s="4">
        <v>219</v>
      </c>
      <c r="B221" s="4" t="s">
        <v>230</v>
      </c>
      <c r="D221" s="4" t="s">
        <v>20</v>
      </c>
      <c r="F221" s="6">
        <v>0</v>
      </c>
      <c r="G221" s="6"/>
      <c r="H221" s="6">
        <v>365368.67</v>
      </c>
      <c r="I221" s="6"/>
      <c r="J221" s="6">
        <v>0</v>
      </c>
      <c r="K221" s="6"/>
      <c r="L221" s="6">
        <v>0</v>
      </c>
      <c r="M221" s="6"/>
      <c r="N221" s="6">
        <v>0</v>
      </c>
      <c r="O221" s="6"/>
      <c r="P221" s="6">
        <v>0</v>
      </c>
      <c r="Q221" s="6"/>
      <c r="R221" s="6">
        <v>0</v>
      </c>
      <c r="S221" s="6"/>
      <c r="T221" s="6">
        <v>5399</v>
      </c>
      <c r="U221" s="6"/>
      <c r="V221" s="6">
        <v>0</v>
      </c>
      <c r="W221" s="6"/>
      <c r="X221" s="6">
        <v>0</v>
      </c>
      <c r="Y221" s="6"/>
      <c r="Z221" s="6">
        <v>0</v>
      </c>
      <c r="AA221" s="6"/>
      <c r="AB221" s="6">
        <v>0</v>
      </c>
      <c r="AC221" s="6"/>
      <c r="AD221" s="6">
        <v>0</v>
      </c>
      <c r="AE221" s="6"/>
      <c r="AF221" s="6">
        <f t="shared" si="7"/>
        <v>370767.67</v>
      </c>
    </row>
    <row r="222" spans="1:32" s="4" customFormat="1">
      <c r="A222" s="4">
        <v>176</v>
      </c>
      <c r="B222" s="4" t="s">
        <v>231</v>
      </c>
      <c r="D222" s="4" t="s">
        <v>66</v>
      </c>
      <c r="F222" s="4">
        <v>26624</v>
      </c>
      <c r="H222" s="4">
        <v>104574</v>
      </c>
      <c r="J222" s="4">
        <v>18844</v>
      </c>
      <c r="L222" s="4">
        <v>36325</v>
      </c>
      <c r="N222" s="4">
        <v>819</v>
      </c>
      <c r="P222" s="4">
        <v>0</v>
      </c>
      <c r="R222" s="4">
        <v>0</v>
      </c>
      <c r="T222" s="4">
        <v>1714</v>
      </c>
      <c r="V222" s="4">
        <v>0</v>
      </c>
      <c r="X222" s="4">
        <v>0</v>
      </c>
      <c r="Z222" s="4">
        <v>0</v>
      </c>
      <c r="AB222" s="4">
        <v>0</v>
      </c>
      <c r="AD222" s="4">
        <v>0</v>
      </c>
      <c r="AF222" s="4">
        <f t="shared" si="7"/>
        <v>188900</v>
      </c>
    </row>
    <row r="223" spans="1:32" s="4" customFormat="1">
      <c r="A223" s="4">
        <v>187</v>
      </c>
      <c r="B223" s="4" t="s">
        <v>594</v>
      </c>
      <c r="D223" s="4" t="s">
        <v>64</v>
      </c>
      <c r="F223" s="6">
        <v>0</v>
      </c>
      <c r="G223" s="6"/>
      <c r="H223" s="6">
        <v>1144471.31</v>
      </c>
      <c r="I223" s="6"/>
      <c r="J223" s="6">
        <v>0</v>
      </c>
      <c r="K223" s="6"/>
      <c r="L223" s="6">
        <v>0</v>
      </c>
      <c r="M223" s="6"/>
      <c r="N223" s="6">
        <v>0</v>
      </c>
      <c r="O223" s="6"/>
      <c r="P223" s="6">
        <v>0</v>
      </c>
      <c r="Q223" s="6"/>
      <c r="R223" s="6">
        <v>0</v>
      </c>
      <c r="S223" s="6"/>
      <c r="T223" s="6">
        <v>272550</v>
      </c>
      <c r="U223" s="6"/>
      <c r="V223" s="6">
        <v>0</v>
      </c>
      <c r="W223" s="6"/>
      <c r="X223" s="6">
        <v>0</v>
      </c>
      <c r="Y223" s="6"/>
      <c r="Z223" s="6">
        <v>400000</v>
      </c>
      <c r="AA223" s="6"/>
      <c r="AB223" s="6">
        <v>0</v>
      </c>
      <c r="AC223" s="6"/>
      <c r="AD223" s="6">
        <v>0</v>
      </c>
      <c r="AE223" s="6"/>
      <c r="AF223" s="6">
        <f t="shared" si="7"/>
        <v>1817021.31</v>
      </c>
    </row>
    <row r="224" spans="1:32" s="4" customFormat="1">
      <c r="A224" s="4">
        <v>128</v>
      </c>
      <c r="B224" s="4" t="s">
        <v>232</v>
      </c>
      <c r="D224" s="4" t="s">
        <v>13</v>
      </c>
      <c r="F224" s="6">
        <v>0</v>
      </c>
      <c r="G224" s="6"/>
      <c r="H224" s="6">
        <v>876114.34</v>
      </c>
      <c r="I224" s="6"/>
      <c r="J224" s="6">
        <v>0</v>
      </c>
      <c r="K224" s="6"/>
      <c r="L224" s="6">
        <v>0</v>
      </c>
      <c r="M224" s="6"/>
      <c r="N224" s="6">
        <v>0</v>
      </c>
      <c r="O224" s="6"/>
      <c r="P224" s="6">
        <v>0</v>
      </c>
      <c r="Q224" s="6"/>
      <c r="R224" s="6">
        <v>0</v>
      </c>
      <c r="S224" s="6"/>
      <c r="T224" s="6">
        <v>28628.240000000002</v>
      </c>
      <c r="U224" s="6"/>
      <c r="V224" s="6">
        <v>0</v>
      </c>
      <c r="W224" s="6"/>
      <c r="X224" s="6">
        <v>0</v>
      </c>
      <c r="Y224" s="6"/>
      <c r="Z224" s="6">
        <v>40000</v>
      </c>
      <c r="AA224" s="6"/>
      <c r="AB224" s="6">
        <v>0</v>
      </c>
      <c r="AC224" s="6"/>
      <c r="AD224" s="6">
        <v>3809.33</v>
      </c>
      <c r="AE224" s="6"/>
      <c r="AF224" s="6">
        <f t="shared" si="7"/>
        <v>948551.90999999992</v>
      </c>
    </row>
    <row r="225" spans="1:32" s="4" customFormat="1">
      <c r="A225" s="4">
        <v>188</v>
      </c>
      <c r="B225" s="4" t="s">
        <v>233</v>
      </c>
      <c r="D225" s="4" t="s">
        <v>234</v>
      </c>
      <c r="F225" s="4">
        <v>0</v>
      </c>
      <c r="H225" s="4">
        <v>1703030</v>
      </c>
      <c r="J225" s="4">
        <v>0</v>
      </c>
      <c r="L225" s="4">
        <v>0</v>
      </c>
      <c r="N225" s="4">
        <v>0</v>
      </c>
      <c r="P225" s="4">
        <v>0</v>
      </c>
      <c r="R225" s="4">
        <v>0</v>
      </c>
      <c r="T225" s="4">
        <v>1657091</v>
      </c>
      <c r="V225" s="4">
        <v>0</v>
      </c>
      <c r="X225" s="4">
        <v>0</v>
      </c>
      <c r="Z225" s="4">
        <v>0</v>
      </c>
      <c r="AB225" s="4">
        <v>0</v>
      </c>
      <c r="AD225" s="4">
        <v>0</v>
      </c>
      <c r="AF225" s="4">
        <f t="shared" si="7"/>
        <v>3360121</v>
      </c>
    </row>
    <row r="226" spans="1:32" s="4" customFormat="1">
      <c r="A226" s="4">
        <v>72</v>
      </c>
      <c r="B226" s="4" t="s">
        <v>310</v>
      </c>
      <c r="D226" s="4" t="s">
        <v>65</v>
      </c>
      <c r="F226" s="76">
        <v>0</v>
      </c>
      <c r="G226" s="76"/>
      <c r="H226" s="76">
        <f>1257319.47+1117</f>
        <v>1258436.47</v>
      </c>
      <c r="I226" s="76"/>
      <c r="J226" s="76">
        <v>0</v>
      </c>
      <c r="K226" s="76"/>
      <c r="L226" s="76">
        <v>0</v>
      </c>
      <c r="M226" s="76"/>
      <c r="N226" s="76">
        <v>0</v>
      </c>
      <c r="O226" s="76"/>
      <c r="P226" s="76">
        <v>0</v>
      </c>
      <c r="Q226" s="76"/>
      <c r="R226" s="76">
        <v>0</v>
      </c>
      <c r="S226" s="76"/>
      <c r="T226" s="76">
        <v>28451.63</v>
      </c>
      <c r="U226" s="76"/>
      <c r="V226" s="76">
        <v>0</v>
      </c>
      <c r="W226" s="76"/>
      <c r="X226" s="76">
        <v>0</v>
      </c>
      <c r="Y226" s="76"/>
      <c r="Z226" s="76">
        <v>0</v>
      </c>
      <c r="AA226" s="76"/>
      <c r="AB226" s="76">
        <v>0</v>
      </c>
      <c r="AC226" s="76"/>
      <c r="AD226" s="76">
        <v>0</v>
      </c>
      <c r="AE226" s="76"/>
      <c r="AF226" s="76">
        <f t="shared" si="7"/>
        <v>1286888.0999999999</v>
      </c>
    </row>
    <row r="227" spans="1:32" s="4" customFormat="1">
      <c r="A227" s="4">
        <v>163</v>
      </c>
      <c r="B227" s="4" t="s">
        <v>574</v>
      </c>
      <c r="D227" s="4" t="s">
        <v>51</v>
      </c>
      <c r="F227" s="76">
        <v>13000</v>
      </c>
      <c r="G227" s="76"/>
      <c r="H227" s="76">
        <f>992807.63+2316</f>
        <v>995123.63</v>
      </c>
      <c r="I227" s="76"/>
      <c r="J227" s="76">
        <v>0</v>
      </c>
      <c r="K227" s="76"/>
      <c r="L227" s="76">
        <v>0</v>
      </c>
      <c r="M227" s="76"/>
      <c r="N227" s="76">
        <v>0</v>
      </c>
      <c r="O227" s="76"/>
      <c r="P227" s="76">
        <v>0</v>
      </c>
      <c r="Q227" s="76"/>
      <c r="R227" s="76">
        <v>0</v>
      </c>
      <c r="S227" s="76"/>
      <c r="T227" s="76">
        <v>101513.92</v>
      </c>
      <c r="U227" s="76"/>
      <c r="V227" s="76">
        <v>0</v>
      </c>
      <c r="W227" s="76"/>
      <c r="X227" s="76">
        <v>0</v>
      </c>
      <c r="Y227" s="76"/>
      <c r="Z227" s="76">
        <v>0</v>
      </c>
      <c r="AA227" s="76"/>
      <c r="AB227" s="76">
        <v>0</v>
      </c>
      <c r="AC227" s="76"/>
      <c r="AD227" s="76">
        <v>0</v>
      </c>
      <c r="AE227" s="76"/>
      <c r="AF227" s="76">
        <f t="shared" si="7"/>
        <v>1109637.55</v>
      </c>
    </row>
    <row r="228" spans="1:32" s="4" customFormat="1">
      <c r="A228" s="4">
        <v>151</v>
      </c>
      <c r="B228" s="4" t="s">
        <v>235</v>
      </c>
      <c r="D228" s="4" t="s">
        <v>10</v>
      </c>
      <c r="F228" s="6">
        <v>0</v>
      </c>
      <c r="G228" s="6"/>
      <c r="H228" s="6">
        <v>512011.91</v>
      </c>
      <c r="I228" s="6"/>
      <c r="J228" s="6">
        <v>0</v>
      </c>
      <c r="K228" s="6"/>
      <c r="L228" s="6">
        <v>0</v>
      </c>
      <c r="M228" s="6"/>
      <c r="N228" s="6">
        <v>0</v>
      </c>
      <c r="O228" s="6"/>
      <c r="P228" s="6">
        <v>0</v>
      </c>
      <c r="Q228" s="6"/>
      <c r="R228" s="6">
        <v>0</v>
      </c>
      <c r="S228" s="6"/>
      <c r="T228" s="6">
        <v>39230.86</v>
      </c>
      <c r="U228" s="6"/>
      <c r="V228" s="6">
        <v>0</v>
      </c>
      <c r="W228" s="6"/>
      <c r="X228" s="6">
        <v>0</v>
      </c>
      <c r="Y228" s="6"/>
      <c r="Z228" s="6">
        <v>0</v>
      </c>
      <c r="AA228" s="6"/>
      <c r="AB228" s="6">
        <v>0</v>
      </c>
      <c r="AC228" s="6"/>
      <c r="AD228" s="6">
        <v>0</v>
      </c>
      <c r="AE228" s="6"/>
      <c r="AF228" s="6">
        <f t="shared" si="7"/>
        <v>551242.77</v>
      </c>
    </row>
    <row r="229" spans="1:32" s="4" customFormat="1">
      <c r="A229" s="4">
        <v>192</v>
      </c>
      <c r="B229" s="4" t="s">
        <v>595</v>
      </c>
      <c r="D229" s="4" t="s">
        <v>171</v>
      </c>
      <c r="F229" s="4">
        <v>97634</v>
      </c>
      <c r="H229" s="4">
        <v>919445</v>
      </c>
      <c r="J229" s="4">
        <v>269510</v>
      </c>
      <c r="L229" s="4">
        <v>175889</v>
      </c>
      <c r="N229" s="4">
        <v>428166</v>
      </c>
      <c r="P229" s="4">
        <v>0</v>
      </c>
      <c r="R229" s="4">
        <v>0</v>
      </c>
      <c r="T229" s="4">
        <v>71652</v>
      </c>
      <c r="V229" s="4">
        <v>0</v>
      </c>
      <c r="X229" s="4">
        <v>0</v>
      </c>
      <c r="Z229" s="4">
        <v>100000</v>
      </c>
      <c r="AB229" s="4">
        <v>0</v>
      </c>
      <c r="AD229" s="4">
        <v>0</v>
      </c>
      <c r="AF229" s="4">
        <f t="shared" si="7"/>
        <v>2062296</v>
      </c>
    </row>
    <row r="230" spans="1:32" s="4" customFormat="1">
      <c r="B230" s="4" t="s">
        <v>608</v>
      </c>
      <c r="D230" s="4" t="s">
        <v>156</v>
      </c>
      <c r="F230" s="1">
        <v>3393</v>
      </c>
      <c r="H230" s="1">
        <v>26806</v>
      </c>
      <c r="J230" s="1">
        <v>179883</v>
      </c>
      <c r="L230" s="1">
        <v>118820</v>
      </c>
      <c r="N230" s="1">
        <v>542532</v>
      </c>
      <c r="P230" s="4">
        <v>0</v>
      </c>
      <c r="R230" s="4">
        <v>0</v>
      </c>
      <c r="T230" s="1">
        <v>52480</v>
      </c>
      <c r="V230" s="4">
        <v>0</v>
      </c>
      <c r="X230" s="4">
        <v>0</v>
      </c>
      <c r="Z230" s="4">
        <v>0</v>
      </c>
      <c r="AB230" s="4">
        <v>0</v>
      </c>
      <c r="AD230" s="4">
        <v>0</v>
      </c>
      <c r="AF230" s="4">
        <f t="shared" si="7"/>
        <v>923914</v>
      </c>
    </row>
    <row r="231" spans="1:32" s="4" customFormat="1">
      <c r="A231" s="4">
        <v>55</v>
      </c>
      <c r="B231" s="4" t="s">
        <v>438</v>
      </c>
      <c r="D231" s="4" t="s">
        <v>17</v>
      </c>
      <c r="F231" s="4">
        <v>0</v>
      </c>
      <c r="H231" s="4">
        <v>4445881</v>
      </c>
      <c r="J231" s="4">
        <v>0</v>
      </c>
      <c r="L231" s="4">
        <v>0</v>
      </c>
      <c r="N231" s="4">
        <v>0</v>
      </c>
      <c r="P231" s="4">
        <v>0</v>
      </c>
      <c r="R231" s="4">
        <v>0</v>
      </c>
      <c r="T231" s="4">
        <v>95533</v>
      </c>
      <c r="V231" s="4">
        <v>0</v>
      </c>
      <c r="X231" s="4">
        <v>0</v>
      </c>
      <c r="Z231" s="4">
        <v>235854</v>
      </c>
      <c r="AB231" s="4">
        <v>0</v>
      </c>
      <c r="AD231" s="4">
        <v>0</v>
      </c>
      <c r="AF231" s="4">
        <f t="shared" si="7"/>
        <v>4777268</v>
      </c>
    </row>
    <row r="232" spans="1:32" s="4" customFormat="1">
      <c r="A232" s="4">
        <v>202</v>
      </c>
      <c r="B232" s="4" t="s">
        <v>21</v>
      </c>
      <c r="D232" s="4" t="s">
        <v>22</v>
      </c>
      <c r="F232" s="4">
        <v>0</v>
      </c>
      <c r="H232" s="4">
        <v>2472053</v>
      </c>
      <c r="J232" s="4">
        <v>0</v>
      </c>
      <c r="L232" s="4">
        <v>0</v>
      </c>
      <c r="N232" s="4">
        <v>0</v>
      </c>
      <c r="P232" s="4">
        <v>0</v>
      </c>
      <c r="R232" s="4">
        <v>0</v>
      </c>
      <c r="T232" s="4">
        <v>213864</v>
      </c>
      <c r="V232" s="4">
        <v>0</v>
      </c>
      <c r="X232" s="4">
        <v>0</v>
      </c>
      <c r="Z232" s="4">
        <v>0</v>
      </c>
      <c r="AB232" s="4">
        <v>0</v>
      </c>
      <c r="AD232" s="4">
        <v>0</v>
      </c>
      <c r="AF232" s="4">
        <f t="shared" si="7"/>
        <v>2685917</v>
      </c>
    </row>
    <row r="233" spans="1:32" s="4" customFormat="1">
      <c r="A233" s="4">
        <v>196</v>
      </c>
      <c r="B233" s="4" t="s">
        <v>596</v>
      </c>
      <c r="D233" s="4" t="s">
        <v>100</v>
      </c>
      <c r="F233" s="4">
        <v>3498</v>
      </c>
      <c r="H233" s="4">
        <f>9384+1040010</f>
        <v>1049394</v>
      </c>
      <c r="J233" s="4">
        <v>263052</v>
      </c>
      <c r="L233" s="4">
        <v>185758</v>
      </c>
      <c r="N233" s="4">
        <v>42514</v>
      </c>
      <c r="P233" s="4">
        <v>0</v>
      </c>
      <c r="R233" s="4">
        <v>5968</v>
      </c>
      <c r="T233" s="4">
        <v>90143</v>
      </c>
      <c r="V233" s="4">
        <v>0</v>
      </c>
      <c r="X233" s="4">
        <v>0</v>
      </c>
      <c r="Z233" s="4">
        <v>0</v>
      </c>
      <c r="AB233" s="4">
        <v>0</v>
      </c>
      <c r="AD233" s="4">
        <v>0</v>
      </c>
      <c r="AF233" s="4">
        <f t="shared" si="7"/>
        <v>1640327</v>
      </c>
    </row>
    <row r="234" spans="1:32" s="4" customFormat="1">
      <c r="B234" s="4" t="s">
        <v>609</v>
      </c>
      <c r="C234" s="15"/>
      <c r="D234" s="15" t="s">
        <v>569</v>
      </c>
      <c r="F234" s="4">
        <v>1990538</v>
      </c>
      <c r="H234" s="4">
        <v>24384028</v>
      </c>
      <c r="J234" s="4">
        <v>12940503</v>
      </c>
      <c r="L234" s="4">
        <v>10907773</v>
      </c>
      <c r="N234" s="4">
        <v>4350817</v>
      </c>
      <c r="P234" s="4">
        <v>0</v>
      </c>
      <c r="R234" s="4">
        <v>0</v>
      </c>
      <c r="T234" s="4">
        <v>0</v>
      </c>
      <c r="V234" s="4">
        <v>0</v>
      </c>
      <c r="X234" s="4">
        <v>0</v>
      </c>
      <c r="Z234" s="4">
        <v>2500000</v>
      </c>
      <c r="AB234" s="4">
        <v>0</v>
      </c>
      <c r="AD234" s="4">
        <v>0</v>
      </c>
      <c r="AF234" s="4">
        <f t="shared" si="7"/>
        <v>57073659</v>
      </c>
    </row>
    <row r="235" spans="1:32" s="4" customFormat="1">
      <c r="A235" s="4">
        <v>102</v>
      </c>
      <c r="B235" s="4" t="s">
        <v>236</v>
      </c>
      <c r="D235" s="4" t="s">
        <v>44</v>
      </c>
      <c r="F235" s="6">
        <v>0</v>
      </c>
      <c r="G235" s="6"/>
      <c r="H235" s="6">
        <v>590447.76</v>
      </c>
      <c r="I235" s="6"/>
      <c r="J235" s="6">
        <v>0</v>
      </c>
      <c r="K235" s="6"/>
      <c r="L235" s="6">
        <v>0</v>
      </c>
      <c r="M235" s="6"/>
      <c r="N235" s="6">
        <v>0</v>
      </c>
      <c r="O235" s="6"/>
      <c r="P235" s="6">
        <v>0</v>
      </c>
      <c r="Q235" s="6"/>
      <c r="R235" s="6">
        <v>0</v>
      </c>
      <c r="S235" s="6"/>
      <c r="T235" s="6">
        <v>27962.44</v>
      </c>
      <c r="U235" s="6"/>
      <c r="V235" s="6">
        <v>7075.73</v>
      </c>
      <c r="W235" s="6"/>
      <c r="X235" s="6">
        <v>805.39</v>
      </c>
      <c r="Y235" s="6"/>
      <c r="Z235" s="6">
        <v>40000</v>
      </c>
      <c r="AA235" s="6"/>
      <c r="AB235" s="6">
        <v>0</v>
      </c>
      <c r="AC235" s="6"/>
      <c r="AD235" s="6">
        <v>0</v>
      </c>
      <c r="AE235" s="6"/>
      <c r="AF235" s="6">
        <f t="shared" si="7"/>
        <v>666291.31999999995</v>
      </c>
    </row>
    <row r="236" spans="1:32" s="4" customFormat="1">
      <c r="A236" s="39">
        <v>197.1</v>
      </c>
      <c r="B236" s="3" t="s">
        <v>572</v>
      </c>
      <c r="C236" s="3"/>
      <c r="D236" s="3" t="s">
        <v>573</v>
      </c>
      <c r="E236" s="3"/>
      <c r="F236" s="6">
        <v>0</v>
      </c>
      <c r="G236" s="6"/>
      <c r="H236" s="6">
        <v>1057131.1200000001</v>
      </c>
      <c r="I236" s="6"/>
      <c r="J236" s="6">
        <v>0</v>
      </c>
      <c r="K236" s="6"/>
      <c r="L236" s="6">
        <v>0</v>
      </c>
      <c r="M236" s="6"/>
      <c r="N236" s="6">
        <v>0</v>
      </c>
      <c r="O236" s="6"/>
      <c r="P236" s="6">
        <v>0</v>
      </c>
      <c r="Q236" s="6"/>
      <c r="R236" s="6">
        <v>0</v>
      </c>
      <c r="S236" s="6"/>
      <c r="T236" s="6">
        <v>706350.8</v>
      </c>
      <c r="U236" s="6"/>
      <c r="V236" s="6">
        <v>0</v>
      </c>
      <c r="W236" s="6"/>
      <c r="X236" s="6">
        <v>0</v>
      </c>
      <c r="Y236" s="6"/>
      <c r="Z236" s="6">
        <v>0</v>
      </c>
      <c r="AA236" s="6"/>
      <c r="AB236" s="6">
        <v>28062.75</v>
      </c>
      <c r="AC236" s="6"/>
      <c r="AD236" s="6">
        <v>0</v>
      </c>
      <c r="AE236" s="6"/>
      <c r="AF236" s="6">
        <f t="shared" si="7"/>
        <v>1791544.6700000002</v>
      </c>
    </row>
    <row r="237" spans="1:32" s="4" customFormat="1"/>
    <row r="238" spans="1:32" s="4" customFormat="1">
      <c r="AF238" s="43" t="s">
        <v>580</v>
      </c>
    </row>
    <row r="239" spans="1:32">
      <c r="B239" s="3" t="s">
        <v>519</v>
      </c>
    </row>
    <row r="240" spans="1:32">
      <c r="B240" s="3" t="s">
        <v>626</v>
      </c>
    </row>
    <row r="241" spans="1:32">
      <c r="B241" s="41" t="s">
        <v>5</v>
      </c>
    </row>
    <row r="242" spans="1:32" s="36" customFormat="1">
      <c r="B242" s="41"/>
      <c r="H242" s="36" t="s">
        <v>6</v>
      </c>
    </row>
    <row r="243" spans="1:32" s="36" customFormat="1">
      <c r="F243" s="36" t="s">
        <v>319</v>
      </c>
      <c r="H243" s="36" t="s">
        <v>548</v>
      </c>
      <c r="J243" s="36" t="s">
        <v>628</v>
      </c>
      <c r="L243" s="36" t="s">
        <v>547</v>
      </c>
      <c r="X243" s="36" t="s">
        <v>326</v>
      </c>
      <c r="AD243" s="36" t="s">
        <v>0</v>
      </c>
    </row>
    <row r="244" spans="1:32" s="36" customFormat="1">
      <c r="F244" s="36" t="s">
        <v>320</v>
      </c>
      <c r="H244" s="36" t="s">
        <v>321</v>
      </c>
      <c r="J244" s="36" t="s">
        <v>629</v>
      </c>
      <c r="L244" s="36" t="s">
        <v>545</v>
      </c>
      <c r="N244" s="36" t="s">
        <v>631</v>
      </c>
      <c r="T244" s="36" t="s">
        <v>28</v>
      </c>
      <c r="V244" s="36" t="s">
        <v>324</v>
      </c>
      <c r="X244" s="36" t="s">
        <v>327</v>
      </c>
      <c r="AD244" s="36" t="s">
        <v>294</v>
      </c>
    </row>
    <row r="245" spans="1:32" s="36" customFormat="1" ht="12" customHeight="1">
      <c r="A245" s="36" t="s">
        <v>567</v>
      </c>
      <c r="B245" s="37" t="s">
        <v>6</v>
      </c>
      <c r="C245" s="44"/>
      <c r="D245" s="37" t="s">
        <v>4</v>
      </c>
      <c r="E245" s="44"/>
      <c r="F245" s="37" t="s">
        <v>27</v>
      </c>
      <c r="G245" s="44"/>
      <c r="H245" s="37" t="s">
        <v>322</v>
      </c>
      <c r="I245" s="44"/>
      <c r="J245" s="37" t="s">
        <v>630</v>
      </c>
      <c r="K245" s="44"/>
      <c r="L245" s="37" t="s">
        <v>546</v>
      </c>
      <c r="M245" s="44"/>
      <c r="N245" s="45" t="s">
        <v>632</v>
      </c>
      <c r="O245" s="44"/>
      <c r="P245" s="37" t="s">
        <v>2</v>
      </c>
      <c r="Q245" s="44"/>
      <c r="R245" s="37" t="s">
        <v>0</v>
      </c>
      <c r="S245" s="44"/>
      <c r="T245" s="37" t="s">
        <v>323</v>
      </c>
      <c r="U245" s="44"/>
      <c r="V245" s="37" t="s">
        <v>325</v>
      </c>
      <c r="W245" s="44"/>
      <c r="X245" s="37" t="s">
        <v>328</v>
      </c>
      <c r="Y245" s="44"/>
      <c r="Z245" s="37" t="s">
        <v>499</v>
      </c>
      <c r="AA245" s="44"/>
      <c r="AB245" s="37" t="s">
        <v>500</v>
      </c>
      <c r="AC245" s="44"/>
      <c r="AD245" s="37" t="s">
        <v>329</v>
      </c>
      <c r="AE245" s="44"/>
      <c r="AF245" s="45" t="s">
        <v>26</v>
      </c>
    </row>
    <row r="246" spans="1:32" s="4" customFormat="1">
      <c r="A246" s="4">
        <v>193</v>
      </c>
      <c r="B246" s="3" t="s">
        <v>237</v>
      </c>
      <c r="C246" s="3"/>
      <c r="D246" s="3" t="s">
        <v>171</v>
      </c>
      <c r="E246" s="3"/>
      <c r="F246" s="75">
        <v>0</v>
      </c>
      <c r="G246" s="75"/>
      <c r="H246" s="75">
        <v>1438024.54</v>
      </c>
      <c r="I246" s="75"/>
      <c r="J246" s="75">
        <v>0</v>
      </c>
      <c r="K246" s="75"/>
      <c r="L246" s="75">
        <v>0</v>
      </c>
      <c r="M246" s="75"/>
      <c r="N246" s="75">
        <v>0</v>
      </c>
      <c r="O246" s="75"/>
      <c r="P246" s="75">
        <v>0</v>
      </c>
      <c r="Q246" s="75"/>
      <c r="R246" s="75">
        <v>0</v>
      </c>
      <c r="S246" s="75"/>
      <c r="T246" s="75">
        <v>0</v>
      </c>
      <c r="U246" s="75"/>
      <c r="V246" s="75">
        <v>0</v>
      </c>
      <c r="W246" s="75"/>
      <c r="X246" s="75">
        <v>0</v>
      </c>
      <c r="Y246" s="75"/>
      <c r="Z246" s="75">
        <v>2790.92</v>
      </c>
      <c r="AA246" s="75"/>
      <c r="AB246" s="75">
        <v>0</v>
      </c>
      <c r="AC246" s="75"/>
      <c r="AD246" s="75">
        <v>87.91</v>
      </c>
      <c r="AE246" s="75"/>
      <c r="AF246" s="75">
        <f t="shared" ref="AF246:AF277" si="8">SUM(F246:AD246)</f>
        <v>1440903.3699999999</v>
      </c>
    </row>
    <row r="247" spans="1:32" s="4" customFormat="1">
      <c r="A247" s="4">
        <v>153</v>
      </c>
      <c r="B247" s="4" t="s">
        <v>311</v>
      </c>
      <c r="D247" s="4" t="s">
        <v>213</v>
      </c>
      <c r="F247" s="1">
        <v>260075</v>
      </c>
      <c r="G247" s="1"/>
      <c r="H247" s="1">
        <v>6186809</v>
      </c>
      <c r="I247" s="1"/>
      <c r="J247" s="1">
        <v>1932823</v>
      </c>
      <c r="K247" s="1"/>
      <c r="L247" s="1">
        <v>1782228</v>
      </c>
      <c r="M247" s="1"/>
      <c r="N247" s="1">
        <v>1592616</v>
      </c>
      <c r="O247" s="1"/>
      <c r="P247" s="1">
        <v>0</v>
      </c>
      <c r="Q247" s="1"/>
      <c r="R247" s="1">
        <v>0</v>
      </c>
      <c r="S247" s="1"/>
      <c r="T247" s="1">
        <v>375861</v>
      </c>
      <c r="U247" s="1"/>
      <c r="V247" s="1">
        <v>0</v>
      </c>
      <c r="W247" s="1"/>
      <c r="X247" s="1">
        <v>0</v>
      </c>
      <c r="Y247" s="1"/>
      <c r="Z247" s="1">
        <v>6450000</v>
      </c>
      <c r="AA247" s="1"/>
      <c r="AB247" s="1">
        <v>0</v>
      </c>
      <c r="AC247" s="1"/>
      <c r="AD247" s="1">
        <v>0</v>
      </c>
      <c r="AF247" s="4">
        <f t="shared" si="8"/>
        <v>18580412</v>
      </c>
    </row>
    <row r="248" spans="1:32" s="4" customFormat="1">
      <c r="A248" s="4">
        <v>238</v>
      </c>
      <c r="B248" s="4" t="s">
        <v>239</v>
      </c>
      <c r="D248" s="4" t="s">
        <v>191</v>
      </c>
      <c r="F248" s="1">
        <v>63907.199999999997</v>
      </c>
      <c r="G248" s="1"/>
      <c r="H248" s="1">
        <f>18744.92+112799+45145</f>
        <v>176688.91999999998</v>
      </c>
      <c r="I248" s="1"/>
      <c r="J248" s="1">
        <v>0</v>
      </c>
      <c r="K248" s="1"/>
      <c r="L248" s="1">
        <v>0</v>
      </c>
      <c r="M248" s="1"/>
      <c r="N248" s="1">
        <v>0</v>
      </c>
      <c r="O248" s="1"/>
      <c r="P248" s="1">
        <v>10639.96</v>
      </c>
      <c r="Q248" s="1"/>
      <c r="R248" s="1">
        <v>10</v>
      </c>
      <c r="S248" s="1"/>
      <c r="T248" s="1">
        <v>3543.24</v>
      </c>
      <c r="U248" s="1"/>
      <c r="V248" s="1">
        <v>42052.36</v>
      </c>
      <c r="W248" s="1"/>
      <c r="X248" s="1">
        <v>0</v>
      </c>
      <c r="Y248" s="1"/>
      <c r="Z248" s="1">
        <v>0</v>
      </c>
      <c r="AA248" s="1"/>
      <c r="AB248" s="1">
        <v>0</v>
      </c>
      <c r="AC248" s="1"/>
      <c r="AD248" s="1">
        <v>0</v>
      </c>
      <c r="AF248" s="4">
        <f t="shared" si="8"/>
        <v>296841.68</v>
      </c>
    </row>
    <row r="249" spans="1:32" s="4" customFormat="1">
      <c r="A249" s="4">
        <v>100</v>
      </c>
      <c r="B249" s="4" t="s">
        <v>312</v>
      </c>
      <c r="D249" s="4" t="s">
        <v>59</v>
      </c>
      <c r="F249" s="6">
        <v>0</v>
      </c>
      <c r="G249" s="6"/>
      <c r="H249" s="6">
        <v>0</v>
      </c>
      <c r="I249" s="6"/>
      <c r="J249" s="6">
        <v>0</v>
      </c>
      <c r="K249" s="6"/>
      <c r="L249" s="6">
        <v>0</v>
      </c>
      <c r="M249" s="6"/>
      <c r="N249" s="6">
        <v>0</v>
      </c>
      <c r="O249" s="6"/>
      <c r="P249" s="6">
        <v>0</v>
      </c>
      <c r="Q249" s="6"/>
      <c r="R249" s="6">
        <v>0</v>
      </c>
      <c r="S249" s="6"/>
      <c r="T249" s="6">
        <v>1083.67</v>
      </c>
      <c r="U249" s="6"/>
      <c r="V249" s="6">
        <v>0</v>
      </c>
      <c r="W249" s="6"/>
      <c r="X249" s="6">
        <v>0</v>
      </c>
      <c r="Y249" s="6"/>
      <c r="Z249" s="6">
        <v>0</v>
      </c>
      <c r="AA249" s="6"/>
      <c r="AB249" s="6">
        <v>0</v>
      </c>
      <c r="AC249" s="6"/>
      <c r="AD249" s="6">
        <v>0</v>
      </c>
      <c r="AE249" s="6"/>
      <c r="AF249" s="6">
        <f t="shared" si="8"/>
        <v>1083.67</v>
      </c>
    </row>
    <row r="250" spans="1:32" s="4" customFormat="1">
      <c r="A250" s="4">
        <v>68</v>
      </c>
      <c r="B250" s="4" t="s">
        <v>460</v>
      </c>
      <c r="D250" s="4" t="s">
        <v>165</v>
      </c>
      <c r="F250" s="6">
        <v>0</v>
      </c>
      <c r="G250" s="6"/>
      <c r="H250" s="6">
        <f>2149.09+553871</f>
        <v>556020.09</v>
      </c>
      <c r="I250" s="6"/>
      <c r="J250" s="6">
        <v>77568.899999999994</v>
      </c>
      <c r="K250" s="6"/>
      <c r="L250" s="6">
        <v>148436.63</v>
      </c>
      <c r="M250" s="6"/>
      <c r="N250" s="6">
        <v>292325.25</v>
      </c>
      <c r="O250" s="6"/>
      <c r="P250" s="6">
        <v>0</v>
      </c>
      <c r="Q250" s="6"/>
      <c r="R250" s="6">
        <v>0</v>
      </c>
      <c r="S250" s="6"/>
      <c r="T250" s="6">
        <v>80186.58</v>
      </c>
      <c r="U250" s="6"/>
      <c r="V250" s="6">
        <v>0</v>
      </c>
      <c r="W250" s="6"/>
      <c r="X250" s="6">
        <v>0</v>
      </c>
      <c r="Y250" s="6"/>
      <c r="Z250" s="6">
        <v>0</v>
      </c>
      <c r="AA250" s="6"/>
      <c r="AB250" s="6">
        <v>0</v>
      </c>
      <c r="AC250" s="6"/>
      <c r="AD250" s="6">
        <v>50.74</v>
      </c>
      <c r="AE250" s="6"/>
      <c r="AF250" s="6">
        <f t="shared" si="8"/>
        <v>1154588.1900000002</v>
      </c>
    </row>
    <row r="251" spans="1:32" s="4" customFormat="1">
      <c r="A251" s="4">
        <v>15</v>
      </c>
      <c r="B251" s="4" t="s">
        <v>241</v>
      </c>
      <c r="D251" s="4" t="s">
        <v>41</v>
      </c>
      <c r="F251" s="6">
        <v>0</v>
      </c>
      <c r="G251" s="6"/>
      <c r="H251" s="6">
        <v>143166.35</v>
      </c>
      <c r="I251" s="6"/>
      <c r="J251" s="6">
        <v>0</v>
      </c>
      <c r="K251" s="6"/>
      <c r="L251" s="6">
        <v>0</v>
      </c>
      <c r="M251" s="6"/>
      <c r="N251" s="6">
        <v>0</v>
      </c>
      <c r="O251" s="6"/>
      <c r="P251" s="6">
        <v>0</v>
      </c>
      <c r="Q251" s="6"/>
      <c r="R251" s="6">
        <v>0</v>
      </c>
      <c r="S251" s="6"/>
      <c r="T251" s="6">
        <v>0</v>
      </c>
      <c r="U251" s="6"/>
      <c r="V251" s="6">
        <v>0</v>
      </c>
      <c r="W251" s="6"/>
      <c r="X251" s="6">
        <v>0</v>
      </c>
      <c r="Y251" s="6"/>
      <c r="Z251" s="6">
        <v>0</v>
      </c>
      <c r="AA251" s="6"/>
      <c r="AB251" s="6">
        <v>0</v>
      </c>
      <c r="AC251" s="6"/>
      <c r="AD251" s="6">
        <v>3901.78</v>
      </c>
      <c r="AE251" s="6"/>
      <c r="AF251" s="6">
        <f t="shared" si="8"/>
        <v>147068.13</v>
      </c>
    </row>
    <row r="252" spans="1:32" s="4" customFormat="1">
      <c r="A252" s="4">
        <v>161</v>
      </c>
      <c r="B252" s="4" t="s">
        <v>339</v>
      </c>
      <c r="D252" s="4" t="s">
        <v>48</v>
      </c>
      <c r="F252" s="6">
        <v>0</v>
      </c>
      <c r="G252" s="6"/>
      <c r="H252" s="6">
        <v>207304</v>
      </c>
      <c r="I252" s="6"/>
      <c r="J252" s="6">
        <v>0</v>
      </c>
      <c r="K252" s="6"/>
      <c r="L252" s="6">
        <v>0</v>
      </c>
      <c r="M252" s="6"/>
      <c r="N252" s="6">
        <v>0</v>
      </c>
      <c r="O252" s="6"/>
      <c r="P252" s="6">
        <v>0</v>
      </c>
      <c r="Q252" s="6"/>
      <c r="R252" s="6">
        <v>0</v>
      </c>
      <c r="S252" s="6"/>
      <c r="T252" s="6">
        <v>3029.4</v>
      </c>
      <c r="U252" s="6"/>
      <c r="V252" s="6">
        <v>0</v>
      </c>
      <c r="W252" s="6"/>
      <c r="X252" s="6">
        <v>0</v>
      </c>
      <c r="Y252" s="6"/>
      <c r="Z252" s="6">
        <v>0</v>
      </c>
      <c r="AA252" s="6"/>
      <c r="AB252" s="6">
        <v>20692</v>
      </c>
      <c r="AC252" s="6"/>
      <c r="AD252" s="6">
        <v>0</v>
      </c>
      <c r="AE252" s="6"/>
      <c r="AF252" s="6">
        <f t="shared" si="8"/>
        <v>231025.4</v>
      </c>
    </row>
    <row r="253" spans="1:32" s="4" customFormat="1">
      <c r="A253" s="4">
        <v>56</v>
      </c>
      <c r="B253" s="4" t="s">
        <v>242</v>
      </c>
      <c r="D253" s="4" t="s">
        <v>17</v>
      </c>
      <c r="F253" s="1">
        <v>272454</v>
      </c>
      <c r="G253" s="1"/>
      <c r="H253" s="1">
        <v>1694849</v>
      </c>
      <c r="I253" s="1"/>
      <c r="J253" s="1">
        <v>1045830</v>
      </c>
      <c r="K253" s="1"/>
      <c r="L253" s="1">
        <v>434321</v>
      </c>
      <c r="M253" s="1"/>
      <c r="N253" s="1">
        <v>448427</v>
      </c>
      <c r="O253" s="1"/>
      <c r="P253" s="1">
        <v>0</v>
      </c>
      <c r="Q253" s="1"/>
      <c r="R253" s="1">
        <v>0</v>
      </c>
      <c r="S253" s="1"/>
      <c r="T253" s="1">
        <v>229082</v>
      </c>
      <c r="U253" s="1"/>
      <c r="V253" s="1">
        <v>200000</v>
      </c>
      <c r="W253" s="1"/>
      <c r="X253" s="1">
        <v>42750</v>
      </c>
      <c r="Y253" s="1"/>
      <c r="Z253" s="1">
        <v>170000</v>
      </c>
      <c r="AA253" s="1"/>
      <c r="AB253" s="1">
        <v>0</v>
      </c>
      <c r="AC253" s="1"/>
      <c r="AD253" s="1">
        <v>0</v>
      </c>
      <c r="AF253" s="4">
        <f t="shared" si="8"/>
        <v>4537713</v>
      </c>
    </row>
    <row r="254" spans="1:32" s="4" customFormat="1">
      <c r="A254" s="4">
        <v>214</v>
      </c>
      <c r="B254" s="4" t="s">
        <v>243</v>
      </c>
      <c r="D254" s="4" t="s">
        <v>23</v>
      </c>
      <c r="F254" s="1">
        <v>216043</v>
      </c>
      <c r="G254" s="1"/>
      <c r="H254" s="1">
        <f>346546+1089355</f>
        <v>1435901</v>
      </c>
      <c r="I254" s="1"/>
      <c r="J254" s="1">
        <v>0</v>
      </c>
      <c r="K254" s="1"/>
      <c r="L254" s="1">
        <v>0</v>
      </c>
      <c r="M254" s="1"/>
      <c r="N254" s="1">
        <v>0</v>
      </c>
      <c r="O254" s="1"/>
      <c r="P254" s="1">
        <v>51924</v>
      </c>
      <c r="Q254" s="1"/>
      <c r="R254" s="1">
        <v>5136</v>
      </c>
      <c r="S254" s="1"/>
      <c r="T254" s="1">
        <v>217379</v>
      </c>
      <c r="U254" s="1"/>
      <c r="V254" s="1">
        <v>0</v>
      </c>
      <c r="W254" s="1"/>
      <c r="X254" s="1">
        <v>0</v>
      </c>
      <c r="Y254" s="1"/>
      <c r="Z254" s="1">
        <v>0</v>
      </c>
      <c r="AA254" s="1"/>
      <c r="AB254" s="1">
        <v>0</v>
      </c>
      <c r="AC254" s="1"/>
      <c r="AD254" s="1">
        <v>0</v>
      </c>
      <c r="AF254" s="4">
        <f t="shared" si="8"/>
        <v>1926383</v>
      </c>
    </row>
    <row r="255" spans="1:32" s="4" customFormat="1">
      <c r="A255" s="4">
        <v>253</v>
      </c>
      <c r="B255" s="4" t="s">
        <v>244</v>
      </c>
      <c r="D255" s="4" t="s">
        <v>63</v>
      </c>
      <c r="F255" s="1">
        <v>0</v>
      </c>
      <c r="G255" s="1"/>
      <c r="H255" s="1">
        <v>846560</v>
      </c>
      <c r="I255" s="1"/>
      <c r="J255" s="1">
        <v>0</v>
      </c>
      <c r="K255" s="1"/>
      <c r="L255" s="1">
        <v>0</v>
      </c>
      <c r="M255" s="1"/>
      <c r="N255" s="1">
        <v>0</v>
      </c>
      <c r="O255" s="1"/>
      <c r="P255" s="1">
        <v>0</v>
      </c>
      <c r="Q255" s="1"/>
      <c r="R255" s="1">
        <v>0</v>
      </c>
      <c r="S255" s="1"/>
      <c r="T255" s="1">
        <v>0</v>
      </c>
      <c r="U255" s="1"/>
      <c r="V255" s="1">
        <v>0</v>
      </c>
      <c r="W255" s="1"/>
      <c r="X255" s="1">
        <v>0</v>
      </c>
      <c r="Y255" s="1"/>
      <c r="Z255" s="1">
        <v>0</v>
      </c>
      <c r="AA255" s="1"/>
      <c r="AB255" s="1">
        <v>0</v>
      </c>
      <c r="AC255" s="1"/>
      <c r="AD255" s="1">
        <v>0</v>
      </c>
      <c r="AF255" s="4">
        <f t="shared" si="8"/>
        <v>846560</v>
      </c>
    </row>
    <row r="256" spans="1:32" s="4" customFormat="1">
      <c r="A256" s="4">
        <v>36</v>
      </c>
      <c r="B256" s="4" t="s">
        <v>245</v>
      </c>
      <c r="D256" s="4" t="s">
        <v>67</v>
      </c>
      <c r="F256" s="76">
        <v>0</v>
      </c>
      <c r="G256" s="76"/>
      <c r="H256" s="76">
        <v>202494.88</v>
      </c>
      <c r="I256" s="76"/>
      <c r="J256" s="76">
        <v>0</v>
      </c>
      <c r="K256" s="76"/>
      <c r="L256" s="76">
        <v>0</v>
      </c>
      <c r="M256" s="76"/>
      <c r="N256" s="76">
        <v>0</v>
      </c>
      <c r="O256" s="76"/>
      <c r="P256" s="76">
        <v>0</v>
      </c>
      <c r="Q256" s="76"/>
      <c r="R256" s="76">
        <v>0</v>
      </c>
      <c r="S256" s="76"/>
      <c r="T256" s="76">
        <v>3083.34</v>
      </c>
      <c r="U256" s="76"/>
      <c r="V256" s="76">
        <v>0</v>
      </c>
      <c r="W256" s="76"/>
      <c r="X256" s="76">
        <v>0</v>
      </c>
      <c r="Y256" s="76"/>
      <c r="Z256" s="76">
        <v>0</v>
      </c>
      <c r="AA256" s="76"/>
      <c r="AB256" s="76">
        <v>0</v>
      </c>
      <c r="AC256" s="76"/>
      <c r="AD256" s="76">
        <v>0</v>
      </c>
      <c r="AE256" s="76"/>
      <c r="AF256" s="76">
        <f t="shared" si="8"/>
        <v>205578.22</v>
      </c>
    </row>
    <row r="257" spans="1:32" s="4" customFormat="1">
      <c r="A257" s="4">
        <v>30</v>
      </c>
      <c r="B257" s="4" t="s">
        <v>343</v>
      </c>
      <c r="D257" s="4" t="s">
        <v>60</v>
      </c>
      <c r="F257" s="6">
        <v>0</v>
      </c>
      <c r="G257" s="6"/>
      <c r="H257" s="6">
        <v>331333.99</v>
      </c>
      <c r="I257" s="6"/>
      <c r="J257" s="6">
        <v>0</v>
      </c>
      <c r="K257" s="6"/>
      <c r="L257" s="6">
        <v>0</v>
      </c>
      <c r="M257" s="6"/>
      <c r="N257" s="6">
        <v>0</v>
      </c>
      <c r="O257" s="6"/>
      <c r="P257" s="6">
        <v>0</v>
      </c>
      <c r="Q257" s="6"/>
      <c r="R257" s="6">
        <v>0</v>
      </c>
      <c r="S257" s="6"/>
      <c r="T257" s="6">
        <v>58759.43</v>
      </c>
      <c r="U257" s="6"/>
      <c r="V257" s="6">
        <v>0</v>
      </c>
      <c r="W257" s="6"/>
      <c r="X257" s="6">
        <v>0</v>
      </c>
      <c r="Y257" s="6"/>
      <c r="Z257" s="6">
        <v>45715.99</v>
      </c>
      <c r="AA257" s="6"/>
      <c r="AB257" s="6">
        <v>0</v>
      </c>
      <c r="AC257" s="6"/>
      <c r="AD257" s="6">
        <v>0</v>
      </c>
      <c r="AE257" s="6"/>
      <c r="AF257" s="6">
        <f t="shared" si="8"/>
        <v>435809.41</v>
      </c>
    </row>
    <row r="258" spans="1:32" s="4" customFormat="1">
      <c r="A258" s="4">
        <v>43</v>
      </c>
      <c r="B258" s="4" t="s">
        <v>246</v>
      </c>
      <c r="D258" s="4" t="s">
        <v>49</v>
      </c>
      <c r="F258" s="1">
        <v>0</v>
      </c>
      <c r="G258" s="1"/>
      <c r="H258" s="1">
        <v>975499</v>
      </c>
      <c r="I258" s="1"/>
      <c r="J258" s="1">
        <v>0</v>
      </c>
      <c r="K258" s="1"/>
      <c r="L258" s="1">
        <v>0</v>
      </c>
      <c r="M258" s="1"/>
      <c r="N258" s="1">
        <v>0</v>
      </c>
      <c r="O258" s="1"/>
      <c r="P258" s="1">
        <v>0</v>
      </c>
      <c r="Q258" s="1"/>
      <c r="R258" s="1">
        <v>0</v>
      </c>
      <c r="S258" s="1"/>
      <c r="T258" s="1">
        <v>0</v>
      </c>
      <c r="U258" s="1"/>
      <c r="V258" s="1">
        <v>0</v>
      </c>
      <c r="W258" s="1"/>
      <c r="X258" s="1">
        <v>0</v>
      </c>
      <c r="Y258" s="1"/>
      <c r="Z258" s="1">
        <v>0</v>
      </c>
      <c r="AA258" s="1"/>
      <c r="AB258" s="1">
        <v>0</v>
      </c>
      <c r="AC258" s="1"/>
      <c r="AD258" s="1">
        <v>0</v>
      </c>
      <c r="AF258" s="4">
        <f t="shared" si="8"/>
        <v>975499</v>
      </c>
    </row>
    <row r="259" spans="1:32" s="4" customFormat="1">
      <c r="A259" s="4">
        <v>244</v>
      </c>
      <c r="B259" s="4" t="s">
        <v>247</v>
      </c>
      <c r="D259" s="4" t="s">
        <v>52</v>
      </c>
      <c r="F259" s="1">
        <v>0</v>
      </c>
      <c r="G259" s="1"/>
      <c r="H259" s="4">
        <v>575824</v>
      </c>
      <c r="J259" s="4">
        <v>77902</v>
      </c>
      <c r="L259" s="4">
        <v>24572</v>
      </c>
      <c r="N259" s="4">
        <v>26840</v>
      </c>
      <c r="P259" s="4">
        <v>0</v>
      </c>
      <c r="R259" s="4">
        <v>0</v>
      </c>
      <c r="T259" s="4">
        <v>15065</v>
      </c>
      <c r="U259" s="1"/>
      <c r="V259" s="1">
        <v>0</v>
      </c>
      <c r="W259" s="1"/>
      <c r="X259" s="1">
        <v>0</v>
      </c>
      <c r="Y259" s="1"/>
      <c r="Z259" s="1">
        <v>0</v>
      </c>
      <c r="AA259" s="1"/>
      <c r="AB259" s="1">
        <v>0</v>
      </c>
      <c r="AC259" s="1"/>
      <c r="AD259" s="1">
        <v>0</v>
      </c>
      <c r="AF259" s="4">
        <f t="shared" si="8"/>
        <v>720203</v>
      </c>
    </row>
    <row r="260" spans="1:32" s="4" customFormat="1">
      <c r="A260" s="4">
        <v>69</v>
      </c>
      <c r="B260" s="4" t="s">
        <v>313</v>
      </c>
      <c r="D260" s="4" t="s">
        <v>165</v>
      </c>
      <c r="F260" s="1">
        <v>0</v>
      </c>
      <c r="G260" s="1"/>
      <c r="H260" s="1">
        <v>2932532</v>
      </c>
      <c r="I260" s="1"/>
      <c r="J260" s="1">
        <v>0</v>
      </c>
      <c r="K260" s="1"/>
      <c r="L260" s="1">
        <v>0</v>
      </c>
      <c r="M260" s="1"/>
      <c r="N260" s="1">
        <v>0</v>
      </c>
      <c r="O260" s="1"/>
      <c r="P260" s="1">
        <v>0</v>
      </c>
      <c r="Q260" s="1"/>
      <c r="R260" s="1">
        <v>0</v>
      </c>
      <c r="S260" s="1"/>
      <c r="T260" s="1">
        <v>56000</v>
      </c>
      <c r="U260" s="1"/>
      <c r="V260" s="1">
        <v>0</v>
      </c>
      <c r="W260" s="1"/>
      <c r="X260" s="1">
        <v>0</v>
      </c>
      <c r="Y260" s="1"/>
      <c r="Z260" s="1">
        <v>173984</v>
      </c>
      <c r="AA260" s="1"/>
      <c r="AB260" s="1">
        <v>0</v>
      </c>
      <c r="AC260" s="1"/>
      <c r="AD260" s="1">
        <v>0</v>
      </c>
      <c r="AF260" s="4">
        <f t="shared" si="8"/>
        <v>3162516</v>
      </c>
    </row>
    <row r="261" spans="1:32" s="4" customFormat="1">
      <c r="A261" s="4">
        <v>177</v>
      </c>
      <c r="B261" s="4" t="s">
        <v>248</v>
      </c>
      <c r="D261" s="4" t="s">
        <v>66</v>
      </c>
      <c r="F261" s="6">
        <v>0</v>
      </c>
      <c r="G261" s="6"/>
      <c r="H261" s="6">
        <v>179490.04</v>
      </c>
      <c r="I261" s="6"/>
      <c r="J261" s="6">
        <v>0</v>
      </c>
      <c r="K261" s="6"/>
      <c r="L261" s="6">
        <v>0</v>
      </c>
      <c r="M261" s="6"/>
      <c r="N261" s="6">
        <v>0</v>
      </c>
      <c r="O261" s="6"/>
      <c r="P261" s="6">
        <v>0</v>
      </c>
      <c r="Q261" s="6"/>
      <c r="R261" s="6">
        <v>0</v>
      </c>
      <c r="S261" s="6"/>
      <c r="T261" s="6">
        <v>4663.16</v>
      </c>
      <c r="U261" s="6"/>
      <c r="V261" s="6">
        <v>0</v>
      </c>
      <c r="W261" s="6"/>
      <c r="X261" s="6">
        <v>0</v>
      </c>
      <c r="Y261" s="6"/>
      <c r="Z261" s="6">
        <v>0</v>
      </c>
      <c r="AA261" s="6"/>
      <c r="AB261" s="6">
        <v>0</v>
      </c>
      <c r="AC261" s="6"/>
      <c r="AD261" s="6">
        <v>194.6</v>
      </c>
      <c r="AE261" s="6"/>
      <c r="AF261" s="6">
        <f t="shared" si="8"/>
        <v>184347.80000000002</v>
      </c>
    </row>
    <row r="262" spans="1:32" s="4" customFormat="1">
      <c r="A262" s="4">
        <v>206</v>
      </c>
      <c r="B262" s="4" t="s">
        <v>249</v>
      </c>
      <c r="D262" s="4" t="s">
        <v>43</v>
      </c>
      <c r="F262" s="6">
        <v>3003</v>
      </c>
      <c r="G262" s="6"/>
      <c r="H262" s="6">
        <v>156910.98000000001</v>
      </c>
      <c r="I262" s="6"/>
      <c r="J262" s="6">
        <v>0</v>
      </c>
      <c r="K262" s="6"/>
      <c r="L262" s="6">
        <v>0</v>
      </c>
      <c r="M262" s="6"/>
      <c r="N262" s="6">
        <v>0</v>
      </c>
      <c r="O262" s="6"/>
      <c r="P262" s="6">
        <v>0</v>
      </c>
      <c r="Q262" s="6"/>
      <c r="R262" s="6">
        <v>0</v>
      </c>
      <c r="S262" s="6"/>
      <c r="T262" s="6">
        <v>2649.03</v>
      </c>
      <c r="U262" s="6"/>
      <c r="V262" s="6">
        <v>3509.95</v>
      </c>
      <c r="W262" s="6"/>
      <c r="X262" s="6">
        <v>722.87</v>
      </c>
      <c r="Y262" s="6"/>
      <c r="Z262" s="6">
        <v>4232.82</v>
      </c>
      <c r="AA262" s="6"/>
      <c r="AB262" s="6">
        <v>1300</v>
      </c>
      <c r="AC262" s="6"/>
      <c r="AD262" s="6">
        <v>6291.04</v>
      </c>
      <c r="AE262" s="6"/>
      <c r="AF262" s="6">
        <f t="shared" si="8"/>
        <v>178619.69000000003</v>
      </c>
    </row>
    <row r="263" spans="1:32" s="4" customFormat="1">
      <c r="A263" s="4">
        <v>57</v>
      </c>
      <c r="B263" s="4" t="s">
        <v>250</v>
      </c>
      <c r="D263" s="4" t="s">
        <v>17</v>
      </c>
      <c r="F263" s="1">
        <v>665873</v>
      </c>
      <c r="G263" s="1"/>
      <c r="H263" s="1">
        <f>531944+2689701+687580</f>
        <v>3909225</v>
      </c>
      <c r="I263" s="1"/>
      <c r="J263" s="1">
        <v>0</v>
      </c>
      <c r="K263" s="1"/>
      <c r="L263" s="1">
        <v>0</v>
      </c>
      <c r="M263" s="1"/>
      <c r="N263" s="1">
        <v>0</v>
      </c>
      <c r="O263" s="1"/>
      <c r="P263" s="1">
        <v>67759</v>
      </c>
      <c r="Q263" s="1"/>
      <c r="R263" s="1">
        <v>47726</v>
      </c>
      <c r="S263" s="1"/>
      <c r="T263" s="1">
        <v>109919</v>
      </c>
      <c r="U263" s="1"/>
      <c r="V263" s="1">
        <v>0</v>
      </c>
      <c r="W263" s="1"/>
      <c r="X263" s="1">
        <v>0</v>
      </c>
      <c r="Y263" s="1"/>
      <c r="Z263" s="1">
        <v>55133</v>
      </c>
      <c r="AA263" s="1"/>
      <c r="AB263" s="1">
        <v>24000</v>
      </c>
      <c r="AC263" s="1"/>
      <c r="AD263" s="1">
        <v>0</v>
      </c>
      <c r="AF263" s="4">
        <f t="shared" si="8"/>
        <v>4879635</v>
      </c>
    </row>
    <row r="264" spans="1:32" s="4" customFormat="1">
      <c r="A264" s="4">
        <v>118</v>
      </c>
      <c r="B264" s="4" t="s">
        <v>440</v>
      </c>
      <c r="D264" s="4" t="s">
        <v>168</v>
      </c>
      <c r="F264" s="1">
        <v>32956</v>
      </c>
      <c r="G264" s="1"/>
      <c r="H264" s="1">
        <f>73928+12468</f>
        <v>86396</v>
      </c>
      <c r="I264" s="1"/>
      <c r="J264" s="1">
        <v>0</v>
      </c>
      <c r="K264" s="1"/>
      <c r="L264" s="1">
        <v>0</v>
      </c>
      <c r="M264" s="1"/>
      <c r="N264" s="1">
        <v>0</v>
      </c>
      <c r="O264" s="1"/>
      <c r="P264" s="1">
        <v>4393</v>
      </c>
      <c r="Q264" s="1"/>
      <c r="R264" s="1">
        <v>71134</v>
      </c>
      <c r="S264" s="1"/>
      <c r="T264" s="1">
        <v>25241</v>
      </c>
      <c r="U264" s="1"/>
      <c r="V264" s="1">
        <v>0</v>
      </c>
      <c r="W264" s="1"/>
      <c r="X264" s="1">
        <v>0</v>
      </c>
      <c r="Y264" s="1"/>
      <c r="Z264" s="1">
        <v>0</v>
      </c>
      <c r="AA264" s="1"/>
      <c r="AB264" s="1">
        <v>0</v>
      </c>
      <c r="AC264" s="1"/>
      <c r="AD264" s="1">
        <v>0</v>
      </c>
      <c r="AF264" s="4">
        <f t="shared" si="8"/>
        <v>220120</v>
      </c>
    </row>
    <row r="265" spans="1:32" s="4" customFormat="1">
      <c r="A265" s="4">
        <v>79</v>
      </c>
      <c r="B265" s="4" t="s">
        <v>252</v>
      </c>
      <c r="D265" s="4" t="s">
        <v>90</v>
      </c>
      <c r="F265" s="4">
        <v>187791</v>
      </c>
      <c r="G265" s="1"/>
      <c r="H265" s="4">
        <v>1594817</v>
      </c>
      <c r="I265" s="1"/>
      <c r="J265" s="4">
        <v>660604</v>
      </c>
      <c r="K265" s="1"/>
      <c r="L265" s="4">
        <v>958946</v>
      </c>
      <c r="M265" s="1"/>
      <c r="N265" s="4">
        <v>800920</v>
      </c>
      <c r="O265" s="1"/>
      <c r="P265" s="1">
        <v>0</v>
      </c>
      <c r="Q265" s="1"/>
      <c r="R265" s="1">
        <v>0</v>
      </c>
      <c r="S265" s="1"/>
      <c r="T265" s="4">
        <v>302162</v>
      </c>
      <c r="U265" s="1"/>
      <c r="V265" s="1">
        <v>0</v>
      </c>
      <c r="W265" s="1"/>
      <c r="X265" s="1">
        <v>0</v>
      </c>
      <c r="Y265" s="1"/>
      <c r="Z265" s="4">
        <v>1600000</v>
      </c>
      <c r="AA265" s="1"/>
      <c r="AB265" s="1">
        <v>0</v>
      </c>
      <c r="AC265" s="1"/>
      <c r="AD265" s="1">
        <v>0</v>
      </c>
      <c r="AF265" s="4">
        <f t="shared" si="8"/>
        <v>6105240</v>
      </c>
    </row>
    <row r="266" spans="1:32" s="4" customFormat="1">
      <c r="A266" s="4">
        <v>22</v>
      </c>
      <c r="B266" s="4" t="s">
        <v>314</v>
      </c>
      <c r="D266" s="4" t="s">
        <v>11</v>
      </c>
      <c r="F266" s="6">
        <v>0</v>
      </c>
      <c r="G266" s="6"/>
      <c r="H266" s="6">
        <v>398675.3</v>
      </c>
      <c r="I266" s="6"/>
      <c r="J266" s="6">
        <v>0</v>
      </c>
      <c r="K266" s="6"/>
      <c r="L266" s="6">
        <v>0</v>
      </c>
      <c r="M266" s="6"/>
      <c r="N266" s="6">
        <v>0</v>
      </c>
      <c r="O266" s="6"/>
      <c r="P266" s="6">
        <v>0</v>
      </c>
      <c r="Q266" s="6"/>
      <c r="R266" s="6">
        <v>0</v>
      </c>
      <c r="S266" s="6"/>
      <c r="T266" s="6">
        <v>102325.07</v>
      </c>
      <c r="U266" s="6"/>
      <c r="V266" s="6">
        <v>0</v>
      </c>
      <c r="W266" s="6"/>
      <c r="X266" s="6">
        <v>0</v>
      </c>
      <c r="Y266" s="6"/>
      <c r="Z266" s="6">
        <v>0</v>
      </c>
      <c r="AA266" s="6"/>
      <c r="AB266" s="6">
        <v>0</v>
      </c>
      <c r="AC266" s="6"/>
      <c r="AD266" s="6">
        <v>0</v>
      </c>
      <c r="AE266" s="6"/>
      <c r="AF266" s="6">
        <f t="shared" si="8"/>
        <v>501000.37</v>
      </c>
    </row>
    <row r="267" spans="1:32" s="4" customFormat="1">
      <c r="A267" s="4">
        <v>18</v>
      </c>
      <c r="B267" s="4" t="s">
        <v>340</v>
      </c>
      <c r="D267" s="4" t="s">
        <v>42</v>
      </c>
      <c r="F267" s="6">
        <v>0</v>
      </c>
      <c r="G267" s="6"/>
      <c r="H267" s="6">
        <f>4036.82+524509</f>
        <v>528545.81999999995</v>
      </c>
      <c r="I267" s="6"/>
      <c r="J267" s="6">
        <v>0</v>
      </c>
      <c r="K267" s="6"/>
      <c r="L267" s="6">
        <v>0</v>
      </c>
      <c r="M267" s="6"/>
      <c r="N267" s="6">
        <v>0</v>
      </c>
      <c r="O267" s="6"/>
      <c r="P267" s="6">
        <v>0</v>
      </c>
      <c r="Q267" s="6"/>
      <c r="R267" s="6">
        <v>0</v>
      </c>
      <c r="S267" s="6"/>
      <c r="T267" s="6">
        <v>40441.35</v>
      </c>
      <c r="U267" s="6"/>
      <c r="V267" s="6">
        <v>13366</v>
      </c>
      <c r="W267" s="6"/>
      <c r="X267" s="6">
        <v>4877.87</v>
      </c>
      <c r="Y267" s="6"/>
      <c r="Z267" s="6">
        <v>0</v>
      </c>
      <c r="AA267" s="6"/>
      <c r="AB267" s="6">
        <v>24000</v>
      </c>
      <c r="AC267" s="6"/>
      <c r="AD267" s="6">
        <v>0</v>
      </c>
      <c r="AE267" s="6"/>
      <c r="AF267" s="6">
        <f t="shared" si="8"/>
        <v>611231.03999999992</v>
      </c>
    </row>
    <row r="268" spans="1:32" s="4" customFormat="1">
      <c r="A268" s="4">
        <v>215</v>
      </c>
      <c r="B268" s="4" t="s">
        <v>581</v>
      </c>
      <c r="D268" s="4" t="s">
        <v>23</v>
      </c>
      <c r="F268" s="1">
        <v>554108</v>
      </c>
      <c r="G268" s="1"/>
      <c r="H268" s="1">
        <v>6304432</v>
      </c>
      <c r="I268" s="1"/>
      <c r="J268" s="1">
        <v>1980090</v>
      </c>
      <c r="K268" s="1"/>
      <c r="L268" s="1">
        <v>1274592</v>
      </c>
      <c r="M268" s="1"/>
      <c r="N268" s="1">
        <v>1423569</v>
      </c>
      <c r="O268" s="1"/>
      <c r="P268" s="1">
        <v>0</v>
      </c>
      <c r="Q268" s="1"/>
      <c r="R268" s="1">
        <v>0</v>
      </c>
      <c r="S268" s="1"/>
      <c r="T268" s="1">
        <v>233872</v>
      </c>
      <c r="U268" s="1"/>
      <c r="V268" s="1">
        <v>0</v>
      </c>
      <c r="W268" s="1"/>
      <c r="X268" s="1">
        <v>0</v>
      </c>
      <c r="Y268" s="1"/>
      <c r="Z268" s="1">
        <v>500000</v>
      </c>
      <c r="AA268" s="1"/>
      <c r="AB268" s="1">
        <v>0</v>
      </c>
      <c r="AC268" s="1"/>
      <c r="AD268" s="1">
        <v>0</v>
      </c>
      <c r="AF268" s="4">
        <f t="shared" si="8"/>
        <v>12270663</v>
      </c>
    </row>
    <row r="269" spans="1:32" s="4" customFormat="1">
      <c r="A269" s="4">
        <v>120</v>
      </c>
      <c r="B269" s="4" t="s">
        <v>254</v>
      </c>
      <c r="D269" s="4" t="s">
        <v>255</v>
      </c>
      <c r="F269" s="6">
        <v>0</v>
      </c>
      <c r="G269" s="6"/>
      <c r="H269" s="6">
        <v>2735986.2</v>
      </c>
      <c r="I269" s="6"/>
      <c r="J269" s="6">
        <v>0</v>
      </c>
      <c r="K269" s="6"/>
      <c r="L269" s="6">
        <v>0</v>
      </c>
      <c r="M269" s="6"/>
      <c r="N269" s="6">
        <v>0</v>
      </c>
      <c r="O269" s="6"/>
      <c r="P269" s="6">
        <v>0</v>
      </c>
      <c r="Q269" s="6"/>
      <c r="R269" s="6">
        <v>0</v>
      </c>
      <c r="S269" s="6"/>
      <c r="T269" s="6">
        <v>257492.92</v>
      </c>
      <c r="U269" s="6"/>
      <c r="V269" s="6">
        <v>0</v>
      </c>
      <c r="W269" s="6"/>
      <c r="X269" s="6">
        <v>0</v>
      </c>
      <c r="Y269" s="6"/>
      <c r="Z269" s="6">
        <v>120000</v>
      </c>
      <c r="AA269" s="6"/>
      <c r="AB269" s="6">
        <v>0</v>
      </c>
      <c r="AC269" s="6"/>
      <c r="AD269" s="6">
        <v>4128.6899999999996</v>
      </c>
      <c r="AE269" s="6"/>
      <c r="AF269" s="6">
        <f t="shared" si="8"/>
        <v>3117607.81</v>
      </c>
    </row>
    <row r="270" spans="1:32" s="4" customFormat="1">
      <c r="A270" s="4">
        <v>220</v>
      </c>
      <c r="B270" s="4" t="s">
        <v>256</v>
      </c>
      <c r="D270" s="4" t="s">
        <v>20</v>
      </c>
      <c r="F270" s="1">
        <v>0</v>
      </c>
      <c r="G270" s="1"/>
      <c r="H270" s="1">
        <v>1033642</v>
      </c>
      <c r="I270" s="1"/>
      <c r="J270" s="1">
        <v>606432</v>
      </c>
      <c r="K270" s="1"/>
      <c r="L270" s="1">
        <v>693945</v>
      </c>
      <c r="M270" s="1"/>
      <c r="N270" s="1">
        <v>308046</v>
      </c>
      <c r="O270" s="1"/>
      <c r="P270" s="1">
        <v>0</v>
      </c>
      <c r="Q270" s="1"/>
      <c r="R270" s="1">
        <v>0</v>
      </c>
      <c r="S270" s="1"/>
      <c r="T270" s="1">
        <v>102197</v>
      </c>
      <c r="U270" s="1"/>
      <c r="V270" s="1">
        <v>0</v>
      </c>
      <c r="W270" s="1"/>
      <c r="X270" s="1">
        <v>0</v>
      </c>
      <c r="Y270" s="1"/>
      <c r="Z270" s="1">
        <v>240000</v>
      </c>
      <c r="AA270" s="1"/>
      <c r="AB270" s="1">
        <v>0</v>
      </c>
      <c r="AC270" s="1"/>
      <c r="AD270" s="1">
        <v>0</v>
      </c>
      <c r="AF270" s="4">
        <f t="shared" si="8"/>
        <v>2984262</v>
      </c>
    </row>
    <row r="271" spans="1:32" s="4" customFormat="1">
      <c r="A271" s="4">
        <v>86</v>
      </c>
      <c r="B271" s="4" t="s">
        <v>257</v>
      </c>
      <c r="D271" s="4" t="s">
        <v>40</v>
      </c>
      <c r="F271" s="6">
        <v>0</v>
      </c>
      <c r="G271" s="6"/>
      <c r="H271" s="6">
        <v>410648.63</v>
      </c>
      <c r="I271" s="6"/>
      <c r="J271" s="6">
        <v>0</v>
      </c>
      <c r="K271" s="6"/>
      <c r="L271" s="6">
        <v>0</v>
      </c>
      <c r="M271" s="6"/>
      <c r="N271" s="6">
        <v>0</v>
      </c>
      <c r="O271" s="6"/>
      <c r="P271" s="6">
        <v>0</v>
      </c>
      <c r="Q271" s="6"/>
      <c r="R271" s="6">
        <v>0</v>
      </c>
      <c r="S271" s="6"/>
      <c r="T271" s="6">
        <v>7714.48</v>
      </c>
      <c r="U271" s="6"/>
      <c r="V271" s="6">
        <v>0</v>
      </c>
      <c r="W271" s="6"/>
      <c r="X271" s="6">
        <v>0</v>
      </c>
      <c r="Y271" s="6"/>
      <c r="Z271" s="6">
        <v>0</v>
      </c>
      <c r="AA271" s="6"/>
      <c r="AB271" s="6">
        <v>0</v>
      </c>
      <c r="AC271" s="6"/>
      <c r="AD271" s="6">
        <v>168.27</v>
      </c>
      <c r="AE271" s="6"/>
      <c r="AF271" s="6">
        <f t="shared" si="8"/>
        <v>418531.38</v>
      </c>
    </row>
    <row r="272" spans="1:32" s="4" customFormat="1">
      <c r="A272" s="4">
        <v>119</v>
      </c>
      <c r="B272" s="4" t="s">
        <v>258</v>
      </c>
      <c r="D272" s="4" t="s">
        <v>168</v>
      </c>
      <c r="F272" s="6">
        <v>0</v>
      </c>
      <c r="G272" s="6"/>
      <c r="H272" s="6">
        <v>394178.64</v>
      </c>
      <c r="I272" s="6"/>
      <c r="J272" s="6">
        <v>0</v>
      </c>
      <c r="K272" s="6"/>
      <c r="L272" s="6">
        <v>0</v>
      </c>
      <c r="M272" s="6"/>
      <c r="N272" s="6">
        <v>0</v>
      </c>
      <c r="O272" s="6"/>
      <c r="P272" s="6">
        <v>0</v>
      </c>
      <c r="Q272" s="6"/>
      <c r="R272" s="6">
        <v>0</v>
      </c>
      <c r="S272" s="6"/>
      <c r="T272" s="6">
        <v>15165.54</v>
      </c>
      <c r="U272" s="6"/>
      <c r="V272" s="6">
        <v>0</v>
      </c>
      <c r="W272" s="6"/>
      <c r="X272" s="6">
        <v>0</v>
      </c>
      <c r="Y272" s="6"/>
      <c r="Z272" s="6">
        <v>0</v>
      </c>
      <c r="AA272" s="6"/>
      <c r="AB272" s="6">
        <v>0</v>
      </c>
      <c r="AC272" s="6"/>
      <c r="AD272" s="6">
        <v>0</v>
      </c>
      <c r="AE272" s="6"/>
      <c r="AF272" s="6">
        <f t="shared" si="8"/>
        <v>409344.18</v>
      </c>
    </row>
    <row r="273" spans="1:32" s="4" customFormat="1" hidden="1">
      <c r="A273" s="4">
        <v>221</v>
      </c>
      <c r="B273" s="4" t="s">
        <v>259</v>
      </c>
      <c r="D273" s="4" t="s">
        <v>20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F273" s="4">
        <f t="shared" si="8"/>
        <v>0</v>
      </c>
    </row>
    <row r="274" spans="1:32" s="4" customFormat="1" hidden="1">
      <c r="A274" s="39">
        <v>92.1</v>
      </c>
      <c r="B274" s="4" t="s">
        <v>568</v>
      </c>
      <c r="C274" s="3"/>
      <c r="D274" s="3" t="s">
        <v>569</v>
      </c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F274" s="4">
        <f t="shared" si="8"/>
        <v>0</v>
      </c>
    </row>
    <row r="275" spans="1:32" s="4" customFormat="1" hidden="1">
      <c r="A275" s="4">
        <v>71</v>
      </c>
      <c r="B275" s="4" t="s">
        <v>565</v>
      </c>
      <c r="D275" s="4" t="s">
        <v>65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F275" s="4">
        <f t="shared" si="8"/>
        <v>0</v>
      </c>
    </row>
    <row r="276" spans="1:32" s="4" customFormat="1">
      <c r="A276" s="4">
        <v>207</v>
      </c>
      <c r="B276" s="4" t="s">
        <v>260</v>
      </c>
      <c r="D276" s="4" t="s">
        <v>43</v>
      </c>
      <c r="F276" s="6">
        <v>0</v>
      </c>
      <c r="G276" s="6"/>
      <c r="H276" s="6">
        <v>1340782.6299999999</v>
      </c>
      <c r="I276" s="6"/>
      <c r="J276" s="6">
        <v>0</v>
      </c>
      <c r="K276" s="6"/>
      <c r="L276" s="6">
        <v>0</v>
      </c>
      <c r="M276" s="6"/>
      <c r="N276" s="6">
        <v>0</v>
      </c>
      <c r="O276" s="6"/>
      <c r="P276" s="6">
        <v>0</v>
      </c>
      <c r="Q276" s="6"/>
      <c r="R276" s="6">
        <v>0</v>
      </c>
      <c r="S276" s="6"/>
      <c r="T276" s="6">
        <v>35619.89</v>
      </c>
      <c r="U276" s="6"/>
      <c r="V276" s="6">
        <v>0</v>
      </c>
      <c r="W276" s="6"/>
      <c r="X276" s="6">
        <v>0</v>
      </c>
      <c r="Y276" s="6"/>
      <c r="Z276" s="6">
        <v>0</v>
      </c>
      <c r="AA276" s="6"/>
      <c r="AB276" s="6">
        <v>0</v>
      </c>
      <c r="AC276" s="6"/>
      <c r="AD276" s="6">
        <v>65.08</v>
      </c>
      <c r="AE276" s="6"/>
      <c r="AF276" s="6">
        <f t="shared" si="8"/>
        <v>1376467.5999999999</v>
      </c>
    </row>
    <row r="277" spans="1:32" s="4" customFormat="1">
      <c r="A277" s="4">
        <v>166</v>
      </c>
      <c r="B277" s="4" t="s">
        <v>441</v>
      </c>
      <c r="D277" s="4" t="s">
        <v>51</v>
      </c>
      <c r="F277" s="1">
        <v>9223</v>
      </c>
      <c r="G277" s="1"/>
      <c r="H277" s="1">
        <v>475780</v>
      </c>
      <c r="I277" s="1"/>
      <c r="J277" s="1">
        <v>75499</v>
      </c>
      <c r="K277" s="1"/>
      <c r="L277" s="1">
        <v>70847</v>
      </c>
      <c r="M277" s="1"/>
      <c r="N277" s="1">
        <v>47029</v>
      </c>
      <c r="O277" s="1"/>
      <c r="P277" s="1">
        <v>0</v>
      </c>
      <c r="Q277" s="1"/>
      <c r="R277" s="1">
        <v>0</v>
      </c>
      <c r="S277" s="1"/>
      <c r="T277" s="1">
        <v>47045</v>
      </c>
      <c r="U277" s="1"/>
      <c r="V277" s="1">
        <v>0</v>
      </c>
      <c r="W277" s="1"/>
      <c r="X277" s="1">
        <v>0</v>
      </c>
      <c r="Y277" s="1"/>
      <c r="Z277" s="1">
        <v>60000</v>
      </c>
      <c r="AA277" s="1"/>
      <c r="AB277" s="1">
        <v>0</v>
      </c>
      <c r="AC277" s="1"/>
      <c r="AD277" s="1">
        <v>0</v>
      </c>
      <c r="AF277" s="4">
        <f t="shared" si="8"/>
        <v>785423</v>
      </c>
    </row>
    <row r="278" spans="1:32" s="4" customFormat="1">
      <c r="A278" s="4">
        <v>147</v>
      </c>
      <c r="B278" s="4" t="s">
        <v>597</v>
      </c>
      <c r="D278" s="4" t="s">
        <v>262</v>
      </c>
      <c r="F278" s="1">
        <v>5273927</v>
      </c>
      <c r="G278" s="1"/>
      <c r="H278" s="1">
        <v>4076874</v>
      </c>
      <c r="I278" s="1"/>
      <c r="J278" s="1">
        <v>0</v>
      </c>
      <c r="K278" s="1"/>
      <c r="L278" s="1">
        <v>0</v>
      </c>
      <c r="M278" s="1"/>
      <c r="N278" s="1">
        <v>0</v>
      </c>
      <c r="O278" s="1"/>
      <c r="P278" s="1">
        <v>0</v>
      </c>
      <c r="Q278" s="1"/>
      <c r="R278" s="1">
        <v>20466696</v>
      </c>
      <c r="S278" s="1"/>
      <c r="T278" s="1">
        <v>4965136</v>
      </c>
      <c r="U278" s="1"/>
      <c r="V278" s="1">
        <v>10953</v>
      </c>
      <c r="W278" s="1"/>
      <c r="X278" s="1">
        <v>4397</v>
      </c>
      <c r="Y278" s="1"/>
      <c r="Z278" s="1">
        <v>2000000</v>
      </c>
      <c r="AA278" s="1"/>
      <c r="AB278" s="1">
        <v>0</v>
      </c>
      <c r="AC278" s="1"/>
      <c r="AD278" s="1">
        <v>0</v>
      </c>
      <c r="AF278" s="4">
        <f t="shared" ref="AF278:AF305" si="9">SUM(F278:AD278)</f>
        <v>36797983</v>
      </c>
    </row>
    <row r="279" spans="1:32" s="4" customFormat="1">
      <c r="A279" s="4">
        <v>167</v>
      </c>
      <c r="B279" s="4" t="s">
        <v>598</v>
      </c>
      <c r="D279" s="4" t="s">
        <v>51</v>
      </c>
      <c r="F279" s="4">
        <v>66405</v>
      </c>
      <c r="G279" s="1"/>
      <c r="H279" s="4">
        <v>544407</v>
      </c>
      <c r="I279" s="1"/>
      <c r="J279" s="4">
        <v>274086</v>
      </c>
      <c r="K279" s="1"/>
      <c r="L279" s="4">
        <v>160875</v>
      </c>
      <c r="M279" s="1"/>
      <c r="N279" s="4">
        <v>546354</v>
      </c>
      <c r="O279" s="1"/>
      <c r="P279" s="1">
        <v>0</v>
      </c>
      <c r="Q279" s="1"/>
      <c r="R279" s="1">
        <v>0</v>
      </c>
      <c r="S279" s="1"/>
      <c r="T279" s="4">
        <v>292163</v>
      </c>
      <c r="U279" s="1"/>
      <c r="V279" s="1">
        <v>0</v>
      </c>
      <c r="W279" s="1"/>
      <c r="X279" s="1">
        <v>0</v>
      </c>
      <c r="Y279" s="1"/>
      <c r="Z279" s="4">
        <v>104000</v>
      </c>
      <c r="AA279" s="1"/>
      <c r="AB279" s="1">
        <v>0</v>
      </c>
      <c r="AC279" s="1"/>
      <c r="AD279" s="1">
        <v>0</v>
      </c>
      <c r="AF279" s="4">
        <f t="shared" si="9"/>
        <v>1988290</v>
      </c>
    </row>
    <row r="280" spans="1:32" s="4" customFormat="1">
      <c r="A280" s="4">
        <v>236</v>
      </c>
      <c r="B280" s="4" t="s">
        <v>599</v>
      </c>
      <c r="D280" s="4" t="s">
        <v>24</v>
      </c>
      <c r="F280" s="1">
        <v>10741</v>
      </c>
      <c r="G280" s="1"/>
      <c r="H280" s="1">
        <v>1041843</v>
      </c>
      <c r="I280" s="1"/>
      <c r="J280" s="1">
        <v>255683</v>
      </c>
      <c r="K280" s="1"/>
      <c r="L280" s="1">
        <v>161991</v>
      </c>
      <c r="M280" s="1"/>
      <c r="N280" s="1">
        <v>371293</v>
      </c>
      <c r="O280" s="1"/>
      <c r="P280" s="1">
        <v>0</v>
      </c>
      <c r="Q280" s="1"/>
      <c r="R280" s="1">
        <v>0</v>
      </c>
      <c r="S280" s="1"/>
      <c r="T280" s="1">
        <v>92349</v>
      </c>
      <c r="U280" s="1"/>
      <c r="V280" s="1">
        <v>130000</v>
      </c>
      <c r="W280" s="1"/>
      <c r="X280" s="1">
        <v>8970</v>
      </c>
      <c r="Y280" s="1"/>
      <c r="Z280" s="1">
        <v>121379</v>
      </c>
      <c r="AA280" s="1"/>
      <c r="AB280" s="1">
        <v>9600</v>
      </c>
      <c r="AC280" s="1"/>
      <c r="AD280" s="1">
        <v>0</v>
      </c>
      <c r="AF280" s="4">
        <f t="shared" si="9"/>
        <v>2203849</v>
      </c>
    </row>
    <row r="281" spans="1:32" s="4" customFormat="1">
      <c r="A281" s="4">
        <v>222</v>
      </c>
      <c r="B281" s="4" t="s">
        <v>317</v>
      </c>
      <c r="D281" s="4" t="s">
        <v>20</v>
      </c>
      <c r="F281" s="1">
        <v>0</v>
      </c>
      <c r="G281" s="1"/>
      <c r="H281" s="1">
        <v>1084997</v>
      </c>
      <c r="I281" s="1"/>
      <c r="J281" s="1">
        <v>658509</v>
      </c>
      <c r="K281" s="1"/>
      <c r="L281" s="1">
        <v>262625</v>
      </c>
      <c r="M281" s="1"/>
      <c r="N281" s="1">
        <v>315445</v>
      </c>
      <c r="O281" s="1"/>
      <c r="P281" s="1">
        <v>0</v>
      </c>
      <c r="Q281" s="1"/>
      <c r="R281" s="1">
        <v>0</v>
      </c>
      <c r="S281" s="1"/>
      <c r="T281" s="1">
        <v>296583</v>
      </c>
      <c r="U281" s="1"/>
      <c r="V281" s="1">
        <v>115000</v>
      </c>
      <c r="W281" s="1"/>
      <c r="X281" s="1">
        <v>10293</v>
      </c>
      <c r="Y281" s="1"/>
      <c r="Z281" s="1">
        <v>230500</v>
      </c>
      <c r="AA281" s="1"/>
      <c r="AB281" s="1">
        <v>0</v>
      </c>
      <c r="AC281" s="1"/>
      <c r="AD281" s="1">
        <v>0</v>
      </c>
      <c r="AF281" s="4">
        <f t="shared" si="9"/>
        <v>2973952</v>
      </c>
    </row>
    <row r="282" spans="1:32" s="4" customFormat="1">
      <c r="A282" s="4">
        <v>24</v>
      </c>
      <c r="B282" s="4" t="s">
        <v>264</v>
      </c>
      <c r="D282" s="4" t="s">
        <v>45</v>
      </c>
      <c r="F282" s="1">
        <v>0</v>
      </c>
      <c r="G282" s="1"/>
      <c r="H282" s="4">
        <v>564975</v>
      </c>
      <c r="I282" s="1"/>
      <c r="J282" s="1">
        <v>0</v>
      </c>
      <c r="K282" s="1"/>
      <c r="L282" s="1">
        <v>0</v>
      </c>
      <c r="M282" s="1"/>
      <c r="N282" s="1">
        <v>0</v>
      </c>
      <c r="O282" s="1"/>
      <c r="P282" s="1">
        <v>0</v>
      </c>
      <c r="Q282" s="1"/>
      <c r="R282" s="1">
        <v>0</v>
      </c>
      <c r="S282" s="1"/>
      <c r="T282" s="4">
        <v>27997</v>
      </c>
      <c r="U282" s="1"/>
      <c r="V282" s="1">
        <v>0</v>
      </c>
      <c r="W282" s="1"/>
      <c r="X282" s="1">
        <v>0</v>
      </c>
      <c r="Y282" s="1"/>
      <c r="Z282" s="1">
        <v>0</v>
      </c>
      <c r="AA282" s="1"/>
      <c r="AB282" s="1">
        <v>0</v>
      </c>
      <c r="AC282" s="1"/>
      <c r="AD282" s="1">
        <v>0</v>
      </c>
      <c r="AF282" s="4">
        <f t="shared" si="9"/>
        <v>592972</v>
      </c>
    </row>
    <row r="283" spans="1:32" s="4" customFormat="1">
      <c r="B283" s="4" t="s">
        <v>265</v>
      </c>
      <c r="D283" s="4" t="s">
        <v>90</v>
      </c>
      <c r="F283" s="1">
        <v>232708</v>
      </c>
      <c r="G283" s="1"/>
      <c r="H283" s="1">
        <v>2158941</v>
      </c>
      <c r="I283" s="1"/>
      <c r="J283" s="1">
        <v>1134972</v>
      </c>
      <c r="K283" s="1"/>
      <c r="L283" s="1">
        <v>580574</v>
      </c>
      <c r="M283" s="1"/>
      <c r="N283" s="1">
        <v>752866</v>
      </c>
      <c r="O283" s="1"/>
      <c r="P283" s="1">
        <v>0</v>
      </c>
      <c r="Q283" s="1"/>
      <c r="R283" s="1">
        <v>0</v>
      </c>
      <c r="S283" s="1"/>
      <c r="T283" s="1">
        <v>363592</v>
      </c>
      <c r="U283" s="1"/>
      <c r="V283" s="1">
        <v>0</v>
      </c>
      <c r="W283" s="1"/>
      <c r="X283" s="1">
        <v>0</v>
      </c>
      <c r="Y283" s="1"/>
      <c r="Z283" s="1">
        <v>0</v>
      </c>
      <c r="AA283" s="1"/>
      <c r="AB283" s="1">
        <v>0</v>
      </c>
      <c r="AC283" s="1"/>
      <c r="AD283" s="1">
        <v>0</v>
      </c>
      <c r="AF283" s="4">
        <f t="shared" si="9"/>
        <v>5223653</v>
      </c>
    </row>
    <row r="284" spans="1:32" s="4" customFormat="1">
      <c r="A284" s="4">
        <v>260</v>
      </c>
      <c r="B284" s="4" t="s">
        <v>341</v>
      </c>
      <c r="D284" s="4" t="s">
        <v>61</v>
      </c>
      <c r="F284" s="6">
        <v>153820</v>
      </c>
      <c r="G284" s="6"/>
      <c r="H284" s="6">
        <v>285985.01</v>
      </c>
      <c r="I284" s="6"/>
      <c r="J284" s="6">
        <v>0</v>
      </c>
      <c r="K284" s="6"/>
      <c r="L284" s="6">
        <v>0</v>
      </c>
      <c r="M284" s="6"/>
      <c r="N284" s="6">
        <v>0</v>
      </c>
      <c r="O284" s="6"/>
      <c r="P284" s="6">
        <v>0</v>
      </c>
      <c r="Q284" s="6"/>
      <c r="R284" s="6">
        <v>0</v>
      </c>
      <c r="S284" s="6"/>
      <c r="T284" s="6">
        <v>7842.95</v>
      </c>
      <c r="U284" s="6"/>
      <c r="V284" s="6">
        <v>0</v>
      </c>
      <c r="W284" s="6"/>
      <c r="X284" s="6">
        <v>0</v>
      </c>
      <c r="Y284" s="6"/>
      <c r="Z284" s="6">
        <v>0</v>
      </c>
      <c r="AA284" s="6"/>
      <c r="AB284" s="6">
        <v>0</v>
      </c>
      <c r="AC284" s="6"/>
      <c r="AD284" s="6">
        <v>0</v>
      </c>
      <c r="AE284" s="6"/>
      <c r="AF284" s="6">
        <f t="shared" si="9"/>
        <v>447647.96</v>
      </c>
    </row>
    <row r="285" spans="1:32" s="4" customFormat="1">
      <c r="B285" s="4" t="s">
        <v>610</v>
      </c>
      <c r="D285" s="4" t="s">
        <v>65</v>
      </c>
      <c r="F285" s="1">
        <v>0</v>
      </c>
      <c r="G285" s="1"/>
      <c r="H285" s="4">
        <v>323112</v>
      </c>
      <c r="I285" s="1"/>
      <c r="J285" s="1">
        <v>0</v>
      </c>
      <c r="K285" s="1"/>
      <c r="L285" s="1">
        <v>0</v>
      </c>
      <c r="M285" s="1"/>
      <c r="N285" s="1">
        <v>0</v>
      </c>
      <c r="O285" s="1"/>
      <c r="P285" s="1">
        <v>0</v>
      </c>
      <c r="Q285" s="1"/>
      <c r="R285" s="1">
        <v>0</v>
      </c>
      <c r="S285" s="1"/>
      <c r="T285" s="1">
        <v>0</v>
      </c>
      <c r="U285" s="1"/>
      <c r="V285" s="4">
        <v>20000</v>
      </c>
      <c r="W285" s="1"/>
      <c r="X285" s="1">
        <v>0</v>
      </c>
      <c r="Y285" s="1"/>
      <c r="Z285" s="1">
        <v>0</v>
      </c>
      <c r="AA285" s="1"/>
      <c r="AB285" s="4">
        <v>1276</v>
      </c>
      <c r="AC285" s="1"/>
      <c r="AD285" s="1">
        <v>0</v>
      </c>
      <c r="AF285" s="4">
        <f t="shared" si="9"/>
        <v>344388</v>
      </c>
    </row>
    <row r="286" spans="1:32" s="4" customFormat="1" hidden="1">
      <c r="A286" s="4">
        <v>230</v>
      </c>
      <c r="B286" s="4" t="s">
        <v>600</v>
      </c>
      <c r="D286" s="4" t="s">
        <v>54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F286" s="4">
        <f t="shared" si="9"/>
        <v>0</v>
      </c>
    </row>
    <row r="287" spans="1:32" s="4" customFormat="1">
      <c r="A287" s="4">
        <v>245</v>
      </c>
      <c r="B287" s="4" t="s">
        <v>601</v>
      </c>
      <c r="D287" s="4" t="s">
        <v>25</v>
      </c>
      <c r="F287" s="1">
        <v>342905</v>
      </c>
      <c r="G287" s="1"/>
      <c r="H287" s="1">
        <v>247861</v>
      </c>
      <c r="I287" s="1"/>
      <c r="J287" s="1">
        <v>0</v>
      </c>
      <c r="K287" s="1"/>
      <c r="L287" s="1">
        <v>0</v>
      </c>
      <c r="M287" s="1"/>
      <c r="N287" s="1">
        <v>0</v>
      </c>
      <c r="O287" s="1"/>
      <c r="P287" s="1">
        <v>0</v>
      </c>
      <c r="Q287" s="1"/>
      <c r="R287" s="1">
        <v>1155391</v>
      </c>
      <c r="S287" s="1"/>
      <c r="T287" s="1">
        <v>110417</v>
      </c>
      <c r="U287" s="1"/>
      <c r="V287" s="1">
        <v>0</v>
      </c>
      <c r="W287" s="1"/>
      <c r="X287" s="1">
        <v>0</v>
      </c>
      <c r="Y287" s="1"/>
      <c r="Z287" s="1">
        <v>0</v>
      </c>
      <c r="AA287" s="1"/>
      <c r="AB287" s="1">
        <v>0</v>
      </c>
      <c r="AC287" s="1"/>
      <c r="AD287" s="1">
        <v>0</v>
      </c>
      <c r="AF287" s="4">
        <f t="shared" si="9"/>
        <v>1856574</v>
      </c>
    </row>
    <row r="288" spans="1:32" s="4" customFormat="1">
      <c r="A288" s="4">
        <v>171</v>
      </c>
      <c r="B288" s="4" t="s">
        <v>267</v>
      </c>
      <c r="D288" s="4" t="s">
        <v>53</v>
      </c>
      <c r="F288" s="4">
        <v>1329690</v>
      </c>
      <c r="H288" s="4">
        <v>1542810</v>
      </c>
      <c r="J288" s="4">
        <v>1625404</v>
      </c>
      <c r="L288" s="4">
        <v>634972</v>
      </c>
      <c r="N288" s="4">
        <v>1283114</v>
      </c>
      <c r="P288" s="4">
        <v>0</v>
      </c>
      <c r="R288" s="4">
        <v>0</v>
      </c>
      <c r="T288" s="4">
        <v>157980</v>
      </c>
      <c r="V288" s="4">
        <v>0</v>
      </c>
      <c r="X288" s="4">
        <v>0</v>
      </c>
      <c r="Z288" s="4">
        <v>500000</v>
      </c>
      <c r="AA288" s="1"/>
      <c r="AB288" s="1">
        <v>0</v>
      </c>
      <c r="AC288" s="1"/>
      <c r="AD288" s="1">
        <v>0</v>
      </c>
      <c r="AF288" s="4">
        <f t="shared" si="9"/>
        <v>7073970</v>
      </c>
    </row>
    <row r="289" spans="1:110" s="4" customFormat="1">
      <c r="A289" s="4">
        <v>87</v>
      </c>
      <c r="B289" s="4" t="s">
        <v>461</v>
      </c>
      <c r="D289" s="4" t="s">
        <v>40</v>
      </c>
      <c r="F289" s="6">
        <v>0</v>
      </c>
      <c r="G289" s="6"/>
      <c r="H289" s="6">
        <v>283866.15000000002</v>
      </c>
      <c r="I289" s="6"/>
      <c r="J289" s="6">
        <v>0</v>
      </c>
      <c r="K289" s="6"/>
      <c r="L289" s="6">
        <v>0</v>
      </c>
      <c r="M289" s="6"/>
      <c r="N289" s="6">
        <v>0</v>
      </c>
      <c r="O289" s="6"/>
      <c r="P289" s="6">
        <v>0</v>
      </c>
      <c r="Q289" s="6"/>
      <c r="R289" s="6">
        <v>0</v>
      </c>
      <c r="S289" s="6"/>
      <c r="T289" s="6">
        <v>28596.99</v>
      </c>
      <c r="U289" s="6"/>
      <c r="V289" s="6">
        <v>0</v>
      </c>
      <c r="W289" s="6"/>
      <c r="X289" s="6">
        <v>0</v>
      </c>
      <c r="Y289" s="6"/>
      <c r="Z289" s="6">
        <v>0</v>
      </c>
      <c r="AA289" s="6"/>
      <c r="AB289" s="6">
        <v>0</v>
      </c>
      <c r="AC289" s="6"/>
      <c r="AD289" s="6">
        <v>0</v>
      </c>
      <c r="AE289" s="6"/>
      <c r="AF289" s="6">
        <f t="shared" si="9"/>
        <v>312463.14</v>
      </c>
    </row>
    <row r="290" spans="1:110" s="4" customFormat="1">
      <c r="A290" s="4">
        <v>247</v>
      </c>
      <c r="B290" s="4" t="s">
        <v>602</v>
      </c>
      <c r="D290" s="4" t="s">
        <v>223</v>
      </c>
      <c r="F290" s="1">
        <v>298255</v>
      </c>
      <c r="G290" s="1"/>
      <c r="H290" s="1">
        <v>2086388</v>
      </c>
      <c r="I290" s="1"/>
      <c r="J290" s="1">
        <v>1110323</v>
      </c>
      <c r="K290" s="1"/>
      <c r="L290" s="1">
        <v>638543</v>
      </c>
      <c r="M290" s="1"/>
      <c r="N290" s="1">
        <v>523828</v>
      </c>
      <c r="O290" s="1"/>
      <c r="P290" s="1">
        <v>0</v>
      </c>
      <c r="Q290" s="1"/>
      <c r="R290" s="1">
        <v>0</v>
      </c>
      <c r="S290" s="1"/>
      <c r="T290" s="1">
        <v>108097</v>
      </c>
      <c r="U290" s="1"/>
      <c r="V290" s="1">
        <v>250000</v>
      </c>
      <c r="W290" s="1"/>
      <c r="X290" s="1">
        <v>214506</v>
      </c>
      <c r="Y290" s="1"/>
      <c r="Z290" s="1">
        <v>350160</v>
      </c>
      <c r="AA290" s="1"/>
      <c r="AB290" s="1">
        <v>0</v>
      </c>
      <c r="AC290" s="1"/>
      <c r="AD290" s="1">
        <v>0</v>
      </c>
      <c r="AF290" s="4">
        <f t="shared" si="9"/>
        <v>5580100</v>
      </c>
    </row>
    <row r="291" spans="1:110" s="4" customFormat="1">
      <c r="A291" s="4">
        <v>254</v>
      </c>
      <c r="B291" s="4" t="s">
        <v>269</v>
      </c>
      <c r="D291" s="4" t="s">
        <v>63</v>
      </c>
      <c r="F291" s="6">
        <v>0</v>
      </c>
      <c r="G291" s="6"/>
      <c r="H291" s="6">
        <v>0</v>
      </c>
      <c r="I291" s="6"/>
      <c r="J291" s="6">
        <v>0</v>
      </c>
      <c r="K291" s="6"/>
      <c r="L291" s="6">
        <v>0</v>
      </c>
      <c r="M291" s="6"/>
      <c r="N291" s="6">
        <v>0</v>
      </c>
      <c r="O291" s="6"/>
      <c r="P291" s="6">
        <v>0</v>
      </c>
      <c r="Q291" s="6"/>
      <c r="R291" s="6">
        <v>0</v>
      </c>
      <c r="S291" s="6"/>
      <c r="T291" s="6">
        <v>1231.1199999999999</v>
      </c>
      <c r="U291" s="6"/>
      <c r="V291" s="6">
        <v>0</v>
      </c>
      <c r="W291" s="6"/>
      <c r="X291" s="6">
        <v>0</v>
      </c>
      <c r="Y291" s="6"/>
      <c r="Z291" s="6">
        <v>0</v>
      </c>
      <c r="AA291" s="6"/>
      <c r="AB291" s="6">
        <v>0</v>
      </c>
      <c r="AC291" s="6"/>
      <c r="AD291" s="6">
        <v>0</v>
      </c>
      <c r="AE291" s="6"/>
      <c r="AF291" s="6">
        <f t="shared" si="9"/>
        <v>1231.1199999999999</v>
      </c>
    </row>
    <row r="292" spans="1:110" s="4" customFormat="1">
      <c r="A292" s="4">
        <v>255</v>
      </c>
      <c r="B292" s="4" t="s">
        <v>270</v>
      </c>
      <c r="D292" s="4" t="s">
        <v>63</v>
      </c>
      <c r="F292" s="6">
        <v>0</v>
      </c>
      <c r="G292" s="6"/>
      <c r="H292" s="6">
        <v>1709990.28</v>
      </c>
      <c r="I292" s="6"/>
      <c r="J292" s="6">
        <v>0</v>
      </c>
      <c r="K292" s="6"/>
      <c r="L292" s="6">
        <v>0</v>
      </c>
      <c r="M292" s="6"/>
      <c r="N292" s="6">
        <v>0</v>
      </c>
      <c r="O292" s="6"/>
      <c r="P292" s="6">
        <v>0</v>
      </c>
      <c r="Q292" s="6"/>
      <c r="R292" s="6">
        <v>0</v>
      </c>
      <c r="S292" s="6"/>
      <c r="T292" s="6">
        <v>26603.62</v>
      </c>
      <c r="U292" s="6"/>
      <c r="V292" s="6">
        <v>0</v>
      </c>
      <c r="W292" s="6"/>
      <c r="X292" s="6">
        <v>0</v>
      </c>
      <c r="Y292" s="6"/>
      <c r="Z292" s="6">
        <v>0</v>
      </c>
      <c r="AA292" s="6"/>
      <c r="AB292" s="6">
        <v>0</v>
      </c>
      <c r="AC292" s="6"/>
      <c r="AD292" s="6">
        <v>0</v>
      </c>
      <c r="AE292" s="6"/>
      <c r="AF292" s="6">
        <f t="shared" si="9"/>
        <v>1736593.9000000001</v>
      </c>
    </row>
    <row r="293" spans="1:110" s="4" customFormat="1">
      <c r="A293" s="4">
        <v>44</v>
      </c>
      <c r="B293" s="4" t="s">
        <v>271</v>
      </c>
      <c r="D293" s="4" t="s">
        <v>49</v>
      </c>
      <c r="F293" s="6">
        <v>0</v>
      </c>
      <c r="G293" s="6"/>
      <c r="H293" s="6">
        <v>339223.02</v>
      </c>
      <c r="I293" s="6"/>
      <c r="J293" s="6">
        <v>0</v>
      </c>
      <c r="K293" s="6"/>
      <c r="L293" s="6">
        <v>0</v>
      </c>
      <c r="M293" s="6"/>
      <c r="N293" s="6">
        <v>0</v>
      </c>
      <c r="O293" s="6"/>
      <c r="P293" s="6">
        <v>0</v>
      </c>
      <c r="Q293" s="6"/>
      <c r="R293" s="6">
        <v>0</v>
      </c>
      <c r="S293" s="6"/>
      <c r="T293" s="6">
        <v>0</v>
      </c>
      <c r="U293" s="6"/>
      <c r="V293" s="6">
        <v>0</v>
      </c>
      <c r="W293" s="6"/>
      <c r="X293" s="6">
        <v>0</v>
      </c>
      <c r="Y293" s="6"/>
      <c r="Z293" s="6">
        <v>0</v>
      </c>
      <c r="AA293" s="6"/>
      <c r="AB293" s="6">
        <v>0</v>
      </c>
      <c r="AC293" s="6"/>
      <c r="AD293" s="6">
        <v>0</v>
      </c>
      <c r="AE293" s="6"/>
      <c r="AF293" s="6">
        <f t="shared" si="9"/>
        <v>339223.02</v>
      </c>
    </row>
    <row r="294" spans="1:110" s="4" customFormat="1">
      <c r="A294" s="4">
        <v>78</v>
      </c>
      <c r="B294" s="4" t="s">
        <v>564</v>
      </c>
      <c r="D294" s="4" t="s">
        <v>90</v>
      </c>
      <c r="F294" s="1">
        <v>0</v>
      </c>
      <c r="G294" s="1"/>
      <c r="H294" s="1">
        <f>4935339+3336</f>
        <v>4938675</v>
      </c>
      <c r="I294" s="1"/>
      <c r="J294" s="1">
        <v>0</v>
      </c>
      <c r="K294" s="1"/>
      <c r="L294" s="1">
        <v>0</v>
      </c>
      <c r="M294" s="1"/>
      <c r="N294" s="1">
        <v>0</v>
      </c>
      <c r="O294" s="1"/>
      <c r="P294" s="1">
        <v>0</v>
      </c>
      <c r="Q294" s="1"/>
      <c r="R294" s="1">
        <v>0</v>
      </c>
      <c r="S294" s="1"/>
      <c r="T294" s="1">
        <v>1200</v>
      </c>
      <c r="U294" s="1"/>
      <c r="V294" s="1">
        <v>0</v>
      </c>
      <c r="W294" s="1"/>
      <c r="X294" s="1">
        <v>0</v>
      </c>
      <c r="Y294" s="1"/>
      <c r="Z294" s="1">
        <v>260846</v>
      </c>
      <c r="AA294" s="1"/>
      <c r="AB294" s="1">
        <v>0</v>
      </c>
      <c r="AC294" s="1"/>
      <c r="AD294" s="1">
        <v>0</v>
      </c>
      <c r="AF294" s="4">
        <f t="shared" si="9"/>
        <v>5200721</v>
      </c>
    </row>
    <row r="295" spans="1:110" s="4" customFormat="1">
      <c r="A295" s="4">
        <v>256</v>
      </c>
      <c r="B295" s="4" t="s">
        <v>272</v>
      </c>
      <c r="D295" s="4" t="s">
        <v>63</v>
      </c>
      <c r="F295" s="6">
        <v>0</v>
      </c>
      <c r="G295" s="6"/>
      <c r="H295" s="6">
        <v>340547.25</v>
      </c>
      <c r="I295" s="6"/>
      <c r="J295" s="6">
        <v>0</v>
      </c>
      <c r="K295" s="6"/>
      <c r="L295" s="6">
        <v>0</v>
      </c>
      <c r="M295" s="6"/>
      <c r="N295" s="6">
        <v>0</v>
      </c>
      <c r="O295" s="6"/>
      <c r="P295" s="6">
        <v>0</v>
      </c>
      <c r="Q295" s="6"/>
      <c r="R295" s="6">
        <v>0</v>
      </c>
      <c r="S295" s="6"/>
      <c r="T295" s="6">
        <v>0</v>
      </c>
      <c r="U295" s="6"/>
      <c r="V295" s="6">
        <v>0</v>
      </c>
      <c r="W295" s="6"/>
      <c r="X295" s="6">
        <v>0</v>
      </c>
      <c r="Y295" s="6"/>
      <c r="Z295" s="6">
        <v>0</v>
      </c>
      <c r="AA295" s="6"/>
      <c r="AB295" s="6">
        <v>0</v>
      </c>
      <c r="AC295" s="6"/>
      <c r="AD295" s="6">
        <v>2976.76</v>
      </c>
      <c r="AE295" s="6"/>
      <c r="AF295" s="6">
        <f t="shared" si="9"/>
        <v>343524.01</v>
      </c>
    </row>
    <row r="296" spans="1:110" s="4" customFormat="1">
      <c r="A296" s="4">
        <v>129</v>
      </c>
      <c r="B296" s="4" t="s">
        <v>462</v>
      </c>
      <c r="D296" s="4" t="s">
        <v>13</v>
      </c>
      <c r="F296" s="76">
        <v>0</v>
      </c>
      <c r="G296" s="76"/>
      <c r="H296" s="76">
        <v>1337319.1299999999</v>
      </c>
      <c r="I296" s="76"/>
      <c r="J296" s="76">
        <v>0</v>
      </c>
      <c r="K296" s="76"/>
      <c r="L296" s="76">
        <v>0</v>
      </c>
      <c r="M296" s="76"/>
      <c r="N296" s="76">
        <v>0</v>
      </c>
      <c r="O296" s="76"/>
      <c r="P296" s="76">
        <v>0</v>
      </c>
      <c r="Q296" s="76"/>
      <c r="R296" s="76">
        <v>0</v>
      </c>
      <c r="S296" s="76"/>
      <c r="T296" s="76">
        <v>34853.89</v>
      </c>
      <c r="U296" s="76"/>
      <c r="V296" s="76">
        <v>0</v>
      </c>
      <c r="W296" s="76"/>
      <c r="X296" s="76">
        <v>0</v>
      </c>
      <c r="Y296" s="76"/>
      <c r="Z296" s="76">
        <v>0</v>
      </c>
      <c r="AA296" s="76"/>
      <c r="AB296" s="76">
        <v>0</v>
      </c>
      <c r="AC296" s="76"/>
      <c r="AD296" s="76">
        <v>0</v>
      </c>
      <c r="AE296" s="76"/>
      <c r="AF296" s="76">
        <f t="shared" si="9"/>
        <v>1372173.0199999998</v>
      </c>
    </row>
    <row r="297" spans="1:110" s="4" customFormat="1" hidden="1">
      <c r="A297" s="4">
        <v>114</v>
      </c>
      <c r="B297" s="4" t="s">
        <v>273</v>
      </c>
      <c r="D297" s="4" t="s">
        <v>87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F297" s="4">
        <f t="shared" si="9"/>
        <v>0</v>
      </c>
    </row>
    <row r="298" spans="1:110" s="4" customFormat="1">
      <c r="A298" s="4">
        <v>249</v>
      </c>
      <c r="B298" s="4" t="s">
        <v>603</v>
      </c>
      <c r="D298" s="4" t="s">
        <v>202</v>
      </c>
      <c r="F298" s="6">
        <v>0</v>
      </c>
      <c r="G298" s="6"/>
      <c r="H298" s="6">
        <v>264466</v>
      </c>
      <c r="I298" s="6"/>
      <c r="J298" s="6">
        <v>0</v>
      </c>
      <c r="K298" s="6"/>
      <c r="L298" s="6">
        <v>170428.79999999999</v>
      </c>
      <c r="M298" s="6"/>
      <c r="N298" s="6">
        <v>1099714.55</v>
      </c>
      <c r="O298" s="6"/>
      <c r="P298" s="6">
        <v>0</v>
      </c>
      <c r="Q298" s="6"/>
      <c r="R298" s="6">
        <v>0</v>
      </c>
      <c r="S298" s="6"/>
      <c r="T298" s="6">
        <v>38259.64</v>
      </c>
      <c r="U298" s="6"/>
      <c r="V298" s="6">
        <v>0</v>
      </c>
      <c r="W298" s="6"/>
      <c r="X298" s="6">
        <v>0</v>
      </c>
      <c r="Y298" s="6"/>
      <c r="Z298" s="6">
        <v>0</v>
      </c>
      <c r="AA298" s="6"/>
      <c r="AB298" s="6">
        <v>0</v>
      </c>
      <c r="AC298" s="6"/>
      <c r="AD298" s="6">
        <v>0</v>
      </c>
      <c r="AE298" s="6"/>
      <c r="AF298" s="6">
        <f t="shared" si="9"/>
        <v>1572868.99</v>
      </c>
    </row>
    <row r="299" spans="1:110" s="4" customFormat="1">
      <c r="A299" s="4">
        <v>130</v>
      </c>
      <c r="B299" s="4" t="s">
        <v>274</v>
      </c>
      <c r="D299" s="4" t="s">
        <v>13</v>
      </c>
      <c r="F299" s="4">
        <v>363071</v>
      </c>
      <c r="G299" s="1"/>
      <c r="H299" s="4">
        <f>916241+2896000</f>
        <v>3812241</v>
      </c>
      <c r="I299" s="1"/>
      <c r="J299" s="1">
        <v>0</v>
      </c>
      <c r="K299" s="1"/>
      <c r="L299" s="4">
        <v>276810</v>
      </c>
      <c r="M299" s="1"/>
      <c r="N299" s="1">
        <v>0</v>
      </c>
      <c r="O299" s="1"/>
      <c r="P299" s="4">
        <v>68406</v>
      </c>
      <c r="Q299" s="1"/>
      <c r="R299" s="4">
        <v>12154</v>
      </c>
      <c r="S299" s="1"/>
      <c r="T299" s="4">
        <v>28191</v>
      </c>
      <c r="U299" s="1"/>
      <c r="V299" s="1">
        <v>0</v>
      </c>
      <c r="W299" s="1"/>
      <c r="X299" s="1">
        <v>0</v>
      </c>
      <c r="Y299" s="1"/>
      <c r="Z299" s="4">
        <v>100000</v>
      </c>
      <c r="AA299" s="1"/>
      <c r="AB299" s="1">
        <v>0</v>
      </c>
      <c r="AC299" s="1"/>
      <c r="AD299" s="1">
        <v>0</v>
      </c>
      <c r="AF299" s="4">
        <f t="shared" si="9"/>
        <v>4660873</v>
      </c>
      <c r="DF299" s="4">
        <v>0</v>
      </c>
    </row>
    <row r="300" spans="1:110" s="4" customFormat="1">
      <c r="A300" s="4">
        <v>37</v>
      </c>
      <c r="B300" s="4" t="s">
        <v>275</v>
      </c>
      <c r="D300" s="4" t="s">
        <v>67</v>
      </c>
      <c r="F300" s="6">
        <v>0</v>
      </c>
      <c r="G300" s="6"/>
      <c r="H300" s="6">
        <v>728466.34</v>
      </c>
      <c r="I300" s="6"/>
      <c r="J300" s="6">
        <v>0</v>
      </c>
      <c r="K300" s="6"/>
      <c r="L300" s="6">
        <v>0</v>
      </c>
      <c r="M300" s="6"/>
      <c r="N300" s="6">
        <v>0</v>
      </c>
      <c r="O300" s="6"/>
      <c r="P300" s="6">
        <v>0</v>
      </c>
      <c r="Q300" s="6"/>
      <c r="R300" s="6">
        <v>0</v>
      </c>
      <c r="S300" s="6"/>
      <c r="T300" s="6">
        <v>58066.89</v>
      </c>
      <c r="U300" s="6"/>
      <c r="V300" s="6">
        <v>0</v>
      </c>
      <c r="W300" s="6"/>
      <c r="X300" s="6">
        <v>0</v>
      </c>
      <c r="Y300" s="6"/>
      <c r="Z300" s="6">
        <v>125000</v>
      </c>
      <c r="AA300" s="6"/>
      <c r="AB300" s="6">
        <v>0</v>
      </c>
      <c r="AC300" s="6"/>
      <c r="AD300" s="6">
        <v>0</v>
      </c>
      <c r="AE300" s="6"/>
      <c r="AF300" s="6">
        <f t="shared" si="9"/>
        <v>911533.23</v>
      </c>
    </row>
    <row r="301" spans="1:110" s="4" customFormat="1">
      <c r="A301" s="4">
        <v>257</v>
      </c>
      <c r="B301" s="4" t="s">
        <v>604</v>
      </c>
      <c r="D301" s="4" t="s">
        <v>63</v>
      </c>
      <c r="F301" s="1">
        <v>0</v>
      </c>
      <c r="G301" s="1"/>
      <c r="H301" s="4">
        <v>1490763</v>
      </c>
      <c r="I301" s="1"/>
      <c r="J301" s="1">
        <v>0</v>
      </c>
      <c r="K301" s="1"/>
      <c r="L301" s="1">
        <v>0</v>
      </c>
      <c r="M301" s="1"/>
      <c r="N301" s="1">
        <v>0</v>
      </c>
      <c r="O301" s="1"/>
      <c r="P301" s="1">
        <v>0</v>
      </c>
      <c r="Q301" s="1"/>
      <c r="R301" s="1">
        <v>0</v>
      </c>
      <c r="S301" s="1"/>
      <c r="T301" s="4">
        <v>96947</v>
      </c>
      <c r="U301" s="1"/>
      <c r="V301" s="4">
        <v>43412</v>
      </c>
      <c r="W301" s="1"/>
      <c r="X301" s="4">
        <v>35868</v>
      </c>
      <c r="Y301" s="1"/>
      <c r="Z301" s="1">
        <v>0</v>
      </c>
      <c r="AA301" s="1"/>
      <c r="AB301" s="1">
        <v>0</v>
      </c>
      <c r="AC301" s="1"/>
      <c r="AD301" s="1">
        <v>0</v>
      </c>
      <c r="AF301" s="4">
        <f t="shared" si="9"/>
        <v>1666990</v>
      </c>
    </row>
    <row r="302" spans="1:110" s="4" customFormat="1">
      <c r="A302" s="4">
        <v>61</v>
      </c>
      <c r="B302" s="4" t="s">
        <v>276</v>
      </c>
      <c r="D302" s="4" t="s">
        <v>79</v>
      </c>
      <c r="F302" s="6">
        <v>0</v>
      </c>
      <c r="G302" s="6"/>
      <c r="H302" s="6">
        <v>232590.23</v>
      </c>
      <c r="I302" s="6"/>
      <c r="J302" s="6">
        <v>0</v>
      </c>
      <c r="K302" s="6"/>
      <c r="L302" s="6">
        <v>0</v>
      </c>
      <c r="M302" s="6"/>
      <c r="N302" s="6">
        <v>0</v>
      </c>
      <c r="O302" s="6"/>
      <c r="P302" s="6">
        <v>0</v>
      </c>
      <c r="Q302" s="6"/>
      <c r="R302" s="6">
        <v>0</v>
      </c>
      <c r="S302" s="6"/>
      <c r="T302" s="6">
        <v>6095</v>
      </c>
      <c r="U302" s="6"/>
      <c r="V302" s="6">
        <v>0</v>
      </c>
      <c r="W302" s="6"/>
      <c r="X302" s="6">
        <v>0</v>
      </c>
      <c r="Y302" s="6"/>
      <c r="Z302" s="6">
        <v>0</v>
      </c>
      <c r="AA302" s="6"/>
      <c r="AB302" s="6">
        <v>0</v>
      </c>
      <c r="AC302" s="6"/>
      <c r="AD302" s="6">
        <v>0</v>
      </c>
      <c r="AE302" s="6"/>
      <c r="AF302" s="6">
        <f t="shared" si="9"/>
        <v>238685.23</v>
      </c>
    </row>
    <row r="303" spans="1:110" s="4" customFormat="1">
      <c r="A303" s="4">
        <v>65</v>
      </c>
      <c r="B303" s="4" t="s">
        <v>318</v>
      </c>
      <c r="D303" s="4" t="s">
        <v>68</v>
      </c>
      <c r="F303" s="6">
        <v>0</v>
      </c>
      <c r="G303" s="6"/>
      <c r="H303" s="6">
        <v>167007</v>
      </c>
      <c r="I303" s="6"/>
      <c r="J303" s="6">
        <v>0</v>
      </c>
      <c r="K303" s="6"/>
      <c r="L303" s="6">
        <v>0</v>
      </c>
      <c r="M303" s="6"/>
      <c r="N303" s="6">
        <v>0</v>
      </c>
      <c r="O303" s="6"/>
      <c r="P303" s="6">
        <v>0</v>
      </c>
      <c r="Q303" s="6"/>
      <c r="R303" s="6">
        <v>0</v>
      </c>
      <c r="S303" s="6"/>
      <c r="T303" s="6">
        <v>450</v>
      </c>
      <c r="U303" s="6"/>
      <c r="V303" s="6">
        <v>0</v>
      </c>
      <c r="W303" s="6"/>
      <c r="X303" s="6">
        <v>0</v>
      </c>
      <c r="Y303" s="6"/>
      <c r="Z303" s="6">
        <v>0</v>
      </c>
      <c r="AA303" s="6"/>
      <c r="AB303" s="6">
        <v>0</v>
      </c>
      <c r="AC303" s="6"/>
      <c r="AD303" s="6">
        <v>0</v>
      </c>
      <c r="AE303" s="6"/>
      <c r="AF303" s="6">
        <f t="shared" si="9"/>
        <v>167457</v>
      </c>
    </row>
    <row r="304" spans="1:110" s="4" customFormat="1">
      <c r="A304" s="4">
        <v>81</v>
      </c>
      <c r="B304" s="4" t="s">
        <v>277</v>
      </c>
      <c r="D304" s="4" t="s">
        <v>90</v>
      </c>
      <c r="F304" s="1">
        <v>740572</v>
      </c>
      <c r="G304" s="1"/>
      <c r="H304" s="1">
        <v>3578784</v>
      </c>
      <c r="I304" s="1"/>
      <c r="J304" s="1">
        <v>1920779</v>
      </c>
      <c r="K304" s="1"/>
      <c r="L304" s="1">
        <v>709612</v>
      </c>
      <c r="M304" s="1"/>
      <c r="N304" s="1">
        <v>1271048</v>
      </c>
      <c r="O304" s="1"/>
      <c r="P304" s="1">
        <v>0</v>
      </c>
      <c r="Q304" s="1"/>
      <c r="R304" s="1">
        <v>0</v>
      </c>
      <c r="S304" s="1"/>
      <c r="T304" s="1">
        <v>351665</v>
      </c>
      <c r="U304" s="1"/>
      <c r="V304" s="1">
        <v>0</v>
      </c>
      <c r="W304" s="1"/>
      <c r="X304" s="1">
        <v>0</v>
      </c>
      <c r="Y304" s="1"/>
      <c r="Z304" s="1">
        <v>330912</v>
      </c>
      <c r="AA304" s="1"/>
      <c r="AB304" s="1">
        <v>0</v>
      </c>
      <c r="AC304" s="1"/>
      <c r="AD304" s="1">
        <v>0</v>
      </c>
      <c r="AF304" s="4">
        <f t="shared" si="9"/>
        <v>8903372</v>
      </c>
    </row>
    <row r="305" spans="1:32" s="4" customFormat="1">
      <c r="A305" s="4">
        <v>172</v>
      </c>
      <c r="B305" s="4" t="s">
        <v>463</v>
      </c>
      <c r="D305" s="4" t="s">
        <v>53</v>
      </c>
      <c r="F305" s="76">
        <v>0</v>
      </c>
      <c r="G305" s="76"/>
      <c r="H305" s="76">
        <v>1455116.4</v>
      </c>
      <c r="I305" s="76"/>
      <c r="J305" s="76">
        <v>0</v>
      </c>
      <c r="K305" s="76"/>
      <c r="L305" s="76">
        <v>0</v>
      </c>
      <c r="M305" s="76"/>
      <c r="N305" s="76">
        <v>0</v>
      </c>
      <c r="O305" s="76"/>
      <c r="P305" s="76">
        <v>0</v>
      </c>
      <c r="Q305" s="76"/>
      <c r="R305" s="76">
        <v>0</v>
      </c>
      <c r="S305" s="76"/>
      <c r="T305" s="76">
        <v>0</v>
      </c>
      <c r="U305" s="76"/>
      <c r="V305" s="76">
        <v>0</v>
      </c>
      <c r="W305" s="76"/>
      <c r="X305" s="76">
        <v>0</v>
      </c>
      <c r="Y305" s="76"/>
      <c r="Z305" s="76">
        <v>0</v>
      </c>
      <c r="AA305" s="76"/>
      <c r="AB305" s="76">
        <v>0</v>
      </c>
      <c r="AC305" s="76"/>
      <c r="AD305" s="76">
        <v>0</v>
      </c>
      <c r="AE305" s="76"/>
      <c r="AF305" s="76">
        <f t="shared" si="9"/>
        <v>1455116.4</v>
      </c>
    </row>
    <row r="306" spans="1:32" s="4" customFormat="1"/>
    <row r="307" spans="1:32" s="4" customFormat="1">
      <c r="B307" s="3" t="s">
        <v>638</v>
      </c>
    </row>
    <row r="308" spans="1:32" s="4" customFormat="1"/>
    <row r="309" spans="1:32" s="4" customFormat="1">
      <c r="AF309" s="8"/>
    </row>
    <row r="310" spans="1:32" s="4" customFormat="1">
      <c r="AF310" s="8"/>
    </row>
    <row r="311" spans="1:32" s="4" customFormat="1">
      <c r="AF311" s="8"/>
    </row>
    <row r="312" spans="1:32" s="4" customFormat="1">
      <c r="AF312" s="8"/>
    </row>
    <row r="313" spans="1:32" s="4" customFormat="1">
      <c r="P313" s="8"/>
    </row>
    <row r="314" spans="1:32" s="53" customFormat="1" ht="12.75"/>
    <row r="315" spans="1:32" s="53" customFormat="1" ht="12.75"/>
    <row r="316" spans="1:32" s="53" customFormat="1" ht="12.75"/>
    <row r="317" spans="1:32" s="53" customFormat="1" ht="12.75"/>
    <row r="318" spans="1:32" s="53" customFormat="1" ht="12.75"/>
    <row r="319" spans="1:32" s="53" customFormat="1" ht="12.75"/>
    <row r="320" spans="1:32" s="9" customFormat="1" ht="12.75">
      <c r="F320" s="53"/>
      <c r="H320" s="53"/>
      <c r="J320" s="53"/>
      <c r="L320" s="53"/>
      <c r="N320" s="53"/>
      <c r="P320" s="53"/>
      <c r="R320" s="53"/>
      <c r="T320" s="53"/>
      <c r="V320" s="53"/>
      <c r="X320" s="53"/>
      <c r="Z320" s="53"/>
      <c r="AB320" s="53"/>
      <c r="AD320" s="53"/>
    </row>
    <row r="321" spans="6:30" s="9" customFormat="1" ht="12.75">
      <c r="F321" s="53"/>
      <c r="H321" s="53"/>
      <c r="J321" s="53"/>
      <c r="L321" s="53"/>
      <c r="N321" s="53"/>
      <c r="P321" s="53"/>
      <c r="R321" s="53"/>
      <c r="T321" s="53"/>
      <c r="V321" s="53"/>
      <c r="X321" s="53"/>
      <c r="Z321" s="53"/>
      <c r="AB321" s="53"/>
      <c r="AD321" s="53"/>
    </row>
    <row r="322" spans="6:30" s="9" customFormat="1" ht="12.75">
      <c r="F322" s="53"/>
      <c r="H322" s="53"/>
      <c r="J322" s="53"/>
      <c r="L322" s="53"/>
      <c r="N322" s="53"/>
      <c r="P322" s="53"/>
      <c r="R322" s="53"/>
      <c r="T322" s="53"/>
      <c r="V322" s="53"/>
      <c r="X322" s="53"/>
      <c r="Z322" s="53"/>
      <c r="AB322" s="53"/>
      <c r="AD322" s="53"/>
    </row>
    <row r="323" spans="6:30" s="9" customFormat="1" ht="12.75">
      <c r="F323" s="53"/>
      <c r="H323" s="53"/>
      <c r="J323" s="53"/>
      <c r="L323" s="53"/>
      <c r="N323" s="53"/>
      <c r="P323" s="53"/>
      <c r="R323" s="53"/>
      <c r="T323" s="53"/>
      <c r="V323" s="53"/>
      <c r="X323" s="53"/>
      <c r="Z323" s="53"/>
      <c r="AB323" s="53"/>
      <c r="AD323" s="53"/>
    </row>
    <row r="324" spans="6:30" s="9" customFormat="1" ht="12.75">
      <c r="F324" s="53"/>
      <c r="H324" s="53"/>
      <c r="J324" s="53"/>
      <c r="L324" s="53"/>
      <c r="N324" s="53"/>
      <c r="P324" s="53"/>
      <c r="R324" s="53"/>
      <c r="T324" s="53"/>
      <c r="V324" s="53"/>
      <c r="X324" s="53"/>
      <c r="Z324" s="53"/>
      <c r="AB324" s="53"/>
      <c r="AD324" s="53"/>
    </row>
    <row r="325" spans="6:30" s="9" customFormat="1" ht="12.75">
      <c r="F325" s="53"/>
      <c r="H325" s="53"/>
      <c r="J325" s="53"/>
      <c r="L325" s="53"/>
      <c r="N325" s="53"/>
      <c r="P325" s="53"/>
      <c r="R325" s="53"/>
      <c r="T325" s="53"/>
      <c r="V325" s="53"/>
      <c r="X325" s="53"/>
      <c r="Z325" s="53"/>
      <c r="AB325" s="53"/>
      <c r="AD325" s="53"/>
    </row>
    <row r="326" spans="6:30" s="9" customFormat="1" ht="12.75">
      <c r="F326" s="53"/>
      <c r="H326" s="53"/>
      <c r="J326" s="53"/>
      <c r="L326" s="53"/>
      <c r="N326" s="53"/>
      <c r="P326" s="53"/>
      <c r="R326" s="53"/>
      <c r="T326" s="53"/>
      <c r="V326" s="53"/>
      <c r="X326" s="53"/>
      <c r="Z326" s="53"/>
      <c r="AB326" s="53"/>
      <c r="AD326" s="53"/>
    </row>
    <row r="327" spans="6:30" s="9" customFormat="1" ht="12.75">
      <c r="F327" s="53"/>
      <c r="H327" s="53"/>
      <c r="J327" s="53"/>
      <c r="L327" s="53"/>
      <c r="N327" s="53"/>
      <c r="P327" s="53"/>
      <c r="R327" s="53"/>
      <c r="T327" s="53"/>
      <c r="V327" s="53"/>
      <c r="X327" s="53"/>
      <c r="Z327" s="53"/>
      <c r="AB327" s="53"/>
      <c r="AD327" s="53"/>
    </row>
    <row r="328" spans="6:30" s="9" customFormat="1" ht="12.75">
      <c r="F328" s="53"/>
      <c r="H328" s="53"/>
      <c r="J328" s="53"/>
      <c r="L328" s="53"/>
      <c r="N328" s="53"/>
      <c r="P328" s="53"/>
      <c r="R328" s="53"/>
      <c r="T328" s="53"/>
      <c r="V328" s="53"/>
      <c r="X328" s="53"/>
      <c r="Z328" s="53"/>
      <c r="AB328" s="53"/>
      <c r="AD328" s="53"/>
    </row>
  </sheetData>
  <sortState ref="A18:AF268">
    <sortCondition ref="B18:B268"/>
  </sortState>
  <phoneticPr fontId="1" type="noConversion"/>
  <printOptions horizontalCentered="1"/>
  <pageMargins left="0.75" right="0.75" top="0.5" bottom="0.5" header="0" footer="0.3"/>
  <pageSetup scale="81" firstPageNumber="32" fitToWidth="2" fitToHeight="3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8" min="1" max="31" man="1"/>
    <brk id="162" min="1" max="31" man="1"/>
    <brk id="238" min="1" max="31" man="1"/>
  </rowBreaks>
  <colBreaks count="1" manualBreakCount="1">
    <brk id="14" max="3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598"/>
  <sheetViews>
    <sheetView workbookViewId="0">
      <pane ySplit="9" topLeftCell="A10" activePane="bottomLeft" state="frozen"/>
      <selection pane="bottomLeft" activeCell="S21" sqref="S21"/>
    </sheetView>
  </sheetViews>
  <sheetFormatPr defaultColWidth="8.85546875" defaultRowHeight="12"/>
  <cols>
    <col min="1" max="1" width="30" style="17" customWidth="1"/>
    <col min="2" max="2" width="2.140625" style="17" customWidth="1"/>
    <col min="3" max="3" width="8.85546875" style="17" customWidth="1"/>
    <col min="4" max="4" width="2" style="17" customWidth="1"/>
    <col min="5" max="5" width="9.85546875" style="17" customWidth="1"/>
    <col min="6" max="6" width="2" style="17" customWidth="1"/>
    <col min="7" max="7" width="9.28515625" style="17" bestFit="1" customWidth="1"/>
    <col min="8" max="8" width="2.140625" style="17" customWidth="1"/>
    <col min="9" max="9" width="10.140625" style="17" bestFit="1" customWidth="1"/>
    <col min="10" max="10" width="2.42578125" style="17" customWidth="1"/>
    <col min="11" max="11" width="9.5703125" style="17" customWidth="1"/>
    <col min="12" max="12" width="2.5703125" style="17" customWidth="1"/>
    <col min="13" max="13" width="8.85546875" style="17"/>
    <col min="14" max="14" width="2.7109375" style="17" customWidth="1"/>
    <col min="15" max="15" width="9.28515625" style="17" bestFit="1" customWidth="1"/>
    <col min="16" max="16" width="2.7109375" style="17" customWidth="1"/>
    <col min="17" max="17" width="10.140625" style="17" bestFit="1" customWidth="1"/>
    <col min="18" max="18" width="2.7109375" style="17" customWidth="1"/>
    <col min="19" max="19" width="9.28515625" style="17" bestFit="1" customWidth="1"/>
    <col min="20" max="20" width="2.28515625" style="17" customWidth="1"/>
    <col min="21" max="21" width="9.7109375" style="17" customWidth="1"/>
    <col min="22" max="22" width="2.28515625" style="17" customWidth="1"/>
    <col min="23" max="23" width="9.28515625" style="17" bestFit="1" customWidth="1"/>
    <col min="24" max="24" width="2.7109375" style="17" customWidth="1"/>
    <col min="25" max="25" width="10.140625" style="17" bestFit="1" customWidth="1"/>
    <col min="26" max="26" width="2.140625" style="17" customWidth="1"/>
    <col min="27" max="27" width="10.5703125" style="17" customWidth="1"/>
    <col min="28" max="28" width="2" style="17" customWidth="1"/>
    <col min="29" max="29" width="11" style="17" customWidth="1"/>
    <col min="30" max="16384" width="8.85546875" style="17"/>
  </cols>
  <sheetData>
    <row r="1" spans="1:29">
      <c r="A1" s="82" t="s">
        <v>521</v>
      </c>
      <c r="B1" s="82"/>
      <c r="C1" s="82"/>
      <c r="D1" s="82"/>
      <c r="E1" s="82"/>
      <c r="F1" s="82"/>
      <c r="G1" s="82"/>
    </row>
    <row r="2" spans="1:29">
      <c r="A2" s="18" t="s">
        <v>627</v>
      </c>
    </row>
    <row r="3" spans="1:29" ht="12.75">
      <c r="A3" s="18"/>
      <c r="G3" s="19"/>
    </row>
    <row r="4" spans="1:29" ht="12.75">
      <c r="A4" s="20" t="s">
        <v>522</v>
      </c>
      <c r="G4" s="19"/>
    </row>
    <row r="5" spans="1:29">
      <c r="A5" s="21"/>
    </row>
    <row r="6" spans="1:29" s="18" customFormat="1">
      <c r="A6" s="22" t="s">
        <v>5</v>
      </c>
      <c r="B6" s="22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29">
      <c r="E7" s="83" t="s">
        <v>30</v>
      </c>
      <c r="F7" s="83"/>
      <c r="G7" s="83"/>
      <c r="H7" s="83"/>
      <c r="I7" s="25"/>
      <c r="K7" s="83" t="s">
        <v>523</v>
      </c>
      <c r="L7" s="83"/>
      <c r="M7" s="83"/>
      <c r="N7" s="26"/>
      <c r="O7" s="26"/>
      <c r="P7" s="25"/>
      <c r="Q7" s="25"/>
      <c r="S7" s="83" t="s">
        <v>407</v>
      </c>
      <c r="T7" s="83"/>
      <c r="U7" s="83"/>
      <c r="V7" s="83"/>
      <c r="W7" s="83"/>
      <c r="X7" s="25"/>
      <c r="Y7" s="25"/>
      <c r="AA7" s="17" t="s">
        <v>524</v>
      </c>
      <c r="AC7" s="17" t="s">
        <v>524</v>
      </c>
    </row>
    <row r="8" spans="1:29">
      <c r="E8" s="28" t="s">
        <v>525</v>
      </c>
      <c r="F8" s="28"/>
      <c r="G8" s="28" t="s">
        <v>28</v>
      </c>
      <c r="H8" s="28"/>
      <c r="I8" s="27" t="s">
        <v>26</v>
      </c>
      <c r="K8" s="28" t="s">
        <v>525</v>
      </c>
      <c r="L8" s="28"/>
      <c r="M8" s="29" t="s">
        <v>526</v>
      </c>
      <c r="N8" s="29"/>
      <c r="O8" s="29"/>
      <c r="P8" s="27"/>
      <c r="Q8" s="27" t="s">
        <v>26</v>
      </c>
      <c r="S8" s="27" t="s">
        <v>527</v>
      </c>
      <c r="T8" s="27"/>
      <c r="U8" s="27"/>
      <c r="V8" s="27"/>
      <c r="W8" s="27"/>
      <c r="X8" s="27"/>
      <c r="Y8" s="27" t="s">
        <v>26</v>
      </c>
      <c r="AA8" s="17" t="s">
        <v>528</v>
      </c>
      <c r="AC8" s="17" t="s">
        <v>528</v>
      </c>
    </row>
    <row r="9" spans="1:29">
      <c r="A9" s="26" t="s">
        <v>6</v>
      </c>
      <c r="B9" s="28"/>
      <c r="C9" s="26" t="s">
        <v>4</v>
      </c>
      <c r="D9" s="28"/>
      <c r="E9" s="26" t="s">
        <v>30</v>
      </c>
      <c r="F9" s="27"/>
      <c r="G9" s="26" t="s">
        <v>30</v>
      </c>
      <c r="H9" s="27"/>
      <c r="I9" s="26" t="s">
        <v>30</v>
      </c>
      <c r="J9" s="23"/>
      <c r="K9" s="26" t="s">
        <v>529</v>
      </c>
      <c r="L9" s="27"/>
      <c r="M9" s="26" t="s">
        <v>530</v>
      </c>
      <c r="N9" s="27"/>
      <c r="O9" s="26" t="s">
        <v>531</v>
      </c>
      <c r="P9" s="27"/>
      <c r="Q9" s="26" t="s">
        <v>529</v>
      </c>
      <c r="R9" s="23"/>
      <c r="S9" s="26" t="s">
        <v>532</v>
      </c>
      <c r="T9" s="27"/>
      <c r="U9" s="26" t="s">
        <v>533</v>
      </c>
      <c r="V9" s="27"/>
      <c r="W9" s="26" t="s">
        <v>409</v>
      </c>
      <c r="X9" s="27"/>
      <c r="Y9" s="26" t="s">
        <v>407</v>
      </c>
      <c r="AA9" s="17" t="s">
        <v>534</v>
      </c>
      <c r="AC9" s="17" t="s">
        <v>534</v>
      </c>
    </row>
    <row r="10" spans="1:29">
      <c r="K10" s="27"/>
      <c r="L10" s="27"/>
      <c r="M10" s="27"/>
      <c r="N10" s="27"/>
      <c r="O10" s="27"/>
      <c r="P10" s="27"/>
      <c r="Q10" s="27"/>
      <c r="S10" s="27"/>
      <c r="T10" s="27"/>
      <c r="U10" s="27"/>
      <c r="V10" s="27"/>
      <c r="W10" s="27"/>
      <c r="X10" s="27"/>
      <c r="Y10" s="27"/>
    </row>
    <row r="11" spans="1:29" s="33" customFormat="1">
      <c r="A11" s="2" t="s">
        <v>349</v>
      </c>
      <c r="B11" s="2"/>
      <c r="C11" s="2" t="s">
        <v>38</v>
      </c>
      <c r="D11" s="30"/>
      <c r="E11" s="33">
        <f t="shared" ref="E11:E22" si="0">+I11-G11</f>
        <v>0</v>
      </c>
      <c r="F11" s="32"/>
      <c r="G11" s="32">
        <v>0</v>
      </c>
      <c r="H11" s="32"/>
      <c r="I11" s="32">
        <v>0</v>
      </c>
      <c r="K11" s="33">
        <f>+Q11-M11-O11</f>
        <v>0</v>
      </c>
      <c r="M11" s="33">
        <v>0</v>
      </c>
      <c r="O11" s="33">
        <v>0</v>
      </c>
      <c r="Q11" s="33">
        <v>0</v>
      </c>
      <c r="S11" s="33">
        <v>0</v>
      </c>
      <c r="U11" s="33">
        <f>Y11-W11-S11</f>
        <v>0</v>
      </c>
      <c r="W11" s="33">
        <v>0</v>
      </c>
      <c r="Y11" s="33">
        <v>0</v>
      </c>
      <c r="AA11" s="17">
        <f>+H11-P11-X11</f>
        <v>0</v>
      </c>
      <c r="AC11" s="33">
        <f>+D11+F11+-J11-L11-R11-T11-V11-N11</f>
        <v>0</v>
      </c>
    </row>
    <row r="12" spans="1:29">
      <c r="A12" s="5" t="s">
        <v>69</v>
      </c>
      <c r="B12" s="5"/>
      <c r="C12" s="6" t="s">
        <v>39</v>
      </c>
      <c r="D12" s="31"/>
      <c r="E12" s="17">
        <f t="shared" si="0"/>
        <v>0</v>
      </c>
      <c r="F12" s="33"/>
      <c r="G12" s="33"/>
      <c r="H12" s="33"/>
      <c r="I12" s="33"/>
      <c r="K12" s="17">
        <f>+Q12-M12-O12</f>
        <v>0</v>
      </c>
      <c r="U12" s="17">
        <f>Y12-W12-S12</f>
        <v>0</v>
      </c>
      <c r="AA12" s="17">
        <f t="shared" ref="AA12:AA86" si="1">+H12-P12-X12</f>
        <v>0</v>
      </c>
      <c r="AB12" s="33"/>
      <c r="AC12" s="33">
        <f t="shared" ref="AC12:AC86" si="2">+D12+F12+-J12-L12-R12-T12-V12-N12</f>
        <v>0</v>
      </c>
    </row>
    <row r="13" spans="1:29">
      <c r="A13" s="5" t="s">
        <v>428</v>
      </c>
      <c r="B13" s="5"/>
      <c r="C13" s="6" t="s">
        <v>95</v>
      </c>
      <c r="D13" s="30"/>
      <c r="E13" s="17">
        <f t="shared" si="0"/>
        <v>0</v>
      </c>
      <c r="K13" s="17">
        <f t="shared" ref="K13:K68" si="3">+Q13-M13-O13</f>
        <v>0</v>
      </c>
      <c r="U13" s="17">
        <f t="shared" ref="U13:U68" si="4">Y13-W13-S13</f>
        <v>0</v>
      </c>
      <c r="AA13" s="17">
        <f t="shared" si="1"/>
        <v>0</v>
      </c>
      <c r="AB13" s="33"/>
      <c r="AC13" s="33">
        <f t="shared" si="2"/>
        <v>0</v>
      </c>
    </row>
    <row r="14" spans="1:29">
      <c r="A14" s="6" t="s">
        <v>74</v>
      </c>
      <c r="B14" s="6"/>
      <c r="C14" s="6" t="s">
        <v>55</v>
      </c>
      <c r="D14" s="30"/>
      <c r="E14" s="17">
        <f t="shared" si="0"/>
        <v>0</v>
      </c>
      <c r="K14" s="17">
        <f t="shared" si="3"/>
        <v>0</v>
      </c>
      <c r="U14" s="17">
        <f t="shared" si="4"/>
        <v>0</v>
      </c>
      <c r="AA14" s="17">
        <f t="shared" si="1"/>
        <v>0</v>
      </c>
      <c r="AB14" s="33"/>
      <c r="AC14" s="33">
        <f t="shared" si="2"/>
        <v>0</v>
      </c>
    </row>
    <row r="15" spans="1:29">
      <c r="A15" s="12" t="s">
        <v>75</v>
      </c>
      <c r="B15" s="12"/>
      <c r="C15" s="12" t="s">
        <v>76</v>
      </c>
      <c r="D15" s="30"/>
      <c r="E15" s="17">
        <f t="shared" si="0"/>
        <v>0</v>
      </c>
      <c r="K15" s="17">
        <f t="shared" si="3"/>
        <v>0</v>
      </c>
      <c r="U15" s="17">
        <f t="shared" si="4"/>
        <v>0</v>
      </c>
      <c r="AA15" s="17">
        <f t="shared" si="1"/>
        <v>0</v>
      </c>
      <c r="AB15" s="33"/>
      <c r="AC15" s="33">
        <f t="shared" si="2"/>
        <v>0</v>
      </c>
    </row>
    <row r="16" spans="1:29">
      <c r="A16" s="5" t="s">
        <v>350</v>
      </c>
      <c r="B16" s="5"/>
      <c r="C16" s="6" t="s">
        <v>40</v>
      </c>
      <c r="D16" s="30"/>
      <c r="E16" s="17">
        <f t="shared" si="0"/>
        <v>0</v>
      </c>
      <c r="K16" s="17">
        <f t="shared" si="3"/>
        <v>0</v>
      </c>
      <c r="U16" s="17">
        <f t="shared" si="4"/>
        <v>0</v>
      </c>
      <c r="AA16" s="17">
        <f t="shared" si="1"/>
        <v>0</v>
      </c>
      <c r="AB16" s="33"/>
      <c r="AC16" s="33">
        <f t="shared" si="2"/>
        <v>0</v>
      </c>
    </row>
    <row r="17" spans="1:31">
      <c r="A17" s="6" t="s">
        <v>427</v>
      </c>
      <c r="B17" s="6"/>
      <c r="C17" s="6" t="s">
        <v>20</v>
      </c>
      <c r="D17" s="30"/>
      <c r="E17" s="17">
        <f t="shared" si="0"/>
        <v>5666707</v>
      </c>
      <c r="I17" s="17">
        <v>5666707</v>
      </c>
      <c r="K17" s="17">
        <f t="shared" si="3"/>
        <v>0</v>
      </c>
      <c r="U17" s="17">
        <f t="shared" si="4"/>
        <v>2405665</v>
      </c>
      <c r="W17" s="17">
        <v>3261042</v>
      </c>
      <c r="Y17" s="17">
        <v>5666707</v>
      </c>
      <c r="AA17" s="17">
        <f t="shared" si="1"/>
        <v>0</v>
      </c>
      <c r="AB17" s="33"/>
      <c r="AC17" s="33">
        <f t="shared" si="2"/>
        <v>0</v>
      </c>
    </row>
    <row r="18" spans="1:31">
      <c r="A18" s="6" t="s">
        <v>80</v>
      </c>
      <c r="B18" s="6"/>
      <c r="C18" s="6" t="s">
        <v>81</v>
      </c>
      <c r="D18" s="30"/>
      <c r="E18" s="17">
        <f t="shared" si="0"/>
        <v>2256474</v>
      </c>
      <c r="I18" s="17">
        <v>2256474</v>
      </c>
      <c r="K18" s="17">
        <f t="shared" si="3"/>
        <v>0</v>
      </c>
      <c r="U18" s="17">
        <f t="shared" si="4"/>
        <v>1654316</v>
      </c>
      <c r="W18" s="17">
        <v>602158</v>
      </c>
      <c r="Y18" s="17">
        <v>2256474</v>
      </c>
      <c r="AA18" s="17">
        <f t="shared" si="1"/>
        <v>0</v>
      </c>
      <c r="AB18" s="33"/>
      <c r="AC18" s="33">
        <f t="shared" si="2"/>
        <v>0</v>
      </c>
    </row>
    <row r="19" spans="1:31">
      <c r="A19" s="5" t="s">
        <v>351</v>
      </c>
      <c r="B19" s="5"/>
      <c r="C19" s="6" t="s">
        <v>41</v>
      </c>
      <c r="D19" s="30"/>
      <c r="E19" s="17">
        <f t="shared" si="0"/>
        <v>0</v>
      </c>
      <c r="K19" s="17">
        <f t="shared" si="3"/>
        <v>0</v>
      </c>
      <c r="U19" s="17">
        <f t="shared" si="4"/>
        <v>0</v>
      </c>
      <c r="AA19" s="17">
        <f t="shared" si="1"/>
        <v>0</v>
      </c>
      <c r="AB19" s="33"/>
      <c r="AC19" s="33">
        <f t="shared" si="2"/>
        <v>0</v>
      </c>
    </row>
    <row r="20" spans="1:31">
      <c r="A20" s="5" t="s">
        <v>352</v>
      </c>
      <c r="B20" s="5"/>
      <c r="C20" s="6" t="s">
        <v>42</v>
      </c>
      <c r="D20" s="30"/>
      <c r="E20" s="17">
        <f t="shared" si="0"/>
        <v>0</v>
      </c>
      <c r="K20" s="17">
        <f t="shared" si="3"/>
        <v>0</v>
      </c>
      <c r="U20" s="17">
        <f t="shared" si="4"/>
        <v>0</v>
      </c>
      <c r="AA20" s="17">
        <f t="shared" si="1"/>
        <v>0</v>
      </c>
      <c r="AB20" s="33"/>
      <c r="AC20" s="33">
        <f t="shared" si="2"/>
        <v>0</v>
      </c>
    </row>
    <row r="21" spans="1:31">
      <c r="A21" s="5" t="s">
        <v>82</v>
      </c>
      <c r="B21" s="5"/>
      <c r="C21" s="6" t="s">
        <v>55</v>
      </c>
      <c r="D21" s="30"/>
      <c r="E21" s="17">
        <f t="shared" si="0"/>
        <v>550025</v>
      </c>
      <c r="I21" s="17">
        <v>550025</v>
      </c>
      <c r="K21" s="17">
        <f>+Q21-M21-O21</f>
        <v>0</v>
      </c>
      <c r="U21" s="17">
        <f>Y21-W21-S21</f>
        <v>433868</v>
      </c>
      <c r="W21" s="17">
        <v>116157</v>
      </c>
      <c r="Y21" s="17">
        <v>550025</v>
      </c>
      <c r="AA21" s="17">
        <f t="shared" si="1"/>
        <v>0</v>
      </c>
      <c r="AB21" s="33"/>
      <c r="AC21" s="33">
        <f t="shared" si="2"/>
        <v>0</v>
      </c>
    </row>
    <row r="22" spans="1:31">
      <c r="A22" s="5" t="s">
        <v>353</v>
      </c>
      <c r="B22" s="6"/>
      <c r="C22" s="6" t="s">
        <v>20</v>
      </c>
      <c r="D22" s="30"/>
      <c r="E22" s="17">
        <f t="shared" si="0"/>
        <v>0</v>
      </c>
      <c r="K22" s="17">
        <f t="shared" si="3"/>
        <v>0</v>
      </c>
      <c r="U22" s="17">
        <f t="shared" si="4"/>
        <v>0</v>
      </c>
      <c r="AA22" s="17">
        <f t="shared" si="1"/>
        <v>0</v>
      </c>
      <c r="AB22" s="33"/>
      <c r="AC22" s="33">
        <f t="shared" si="2"/>
        <v>0</v>
      </c>
    </row>
    <row r="23" spans="1:31">
      <c r="A23" s="12" t="s">
        <v>19</v>
      </c>
      <c r="B23" s="12"/>
      <c r="C23" s="12" t="s">
        <v>11</v>
      </c>
      <c r="D23" s="30"/>
      <c r="E23" s="17">
        <v>0</v>
      </c>
      <c r="K23" s="17">
        <v>0</v>
      </c>
      <c r="U23" s="17">
        <v>0</v>
      </c>
      <c r="AA23" s="17">
        <f t="shared" si="1"/>
        <v>0</v>
      </c>
      <c r="AB23" s="33"/>
      <c r="AC23" s="33">
        <f t="shared" si="2"/>
        <v>0</v>
      </c>
    </row>
    <row r="24" spans="1:31">
      <c r="A24" s="5" t="s">
        <v>354</v>
      </c>
      <c r="B24" s="6"/>
      <c r="C24" s="6" t="s">
        <v>11</v>
      </c>
      <c r="D24" s="30"/>
      <c r="E24" s="17">
        <f t="shared" ref="E24:E65" si="5">+I24-G24</f>
        <v>0</v>
      </c>
      <c r="K24" s="17">
        <f t="shared" si="3"/>
        <v>0</v>
      </c>
      <c r="U24" s="17">
        <f t="shared" si="4"/>
        <v>0</v>
      </c>
      <c r="AA24" s="17">
        <f t="shared" si="1"/>
        <v>0</v>
      </c>
      <c r="AB24" s="33"/>
      <c r="AC24" s="33">
        <f t="shared" si="2"/>
        <v>0</v>
      </c>
    </row>
    <row r="25" spans="1:31">
      <c r="A25" s="5" t="s">
        <v>86</v>
      </c>
      <c r="B25" s="6"/>
      <c r="C25" s="6" t="s">
        <v>87</v>
      </c>
      <c r="D25" s="30"/>
      <c r="E25" s="17">
        <f t="shared" si="5"/>
        <v>895757</v>
      </c>
      <c r="I25" s="17">
        <v>895757</v>
      </c>
      <c r="K25" s="17">
        <f>+Q25-M25-O25</f>
        <v>0</v>
      </c>
      <c r="U25" s="17">
        <f>Y25-W25-S25</f>
        <v>5389</v>
      </c>
      <c r="W25" s="17">
        <v>890368</v>
      </c>
      <c r="Y25" s="17">
        <v>895757</v>
      </c>
      <c r="AA25" s="17">
        <f t="shared" si="1"/>
        <v>0</v>
      </c>
      <c r="AB25" s="33"/>
      <c r="AC25" s="33">
        <f t="shared" si="2"/>
        <v>0</v>
      </c>
    </row>
    <row r="26" spans="1:31">
      <c r="A26" s="5" t="s">
        <v>93</v>
      </c>
      <c r="B26" s="6"/>
      <c r="C26" s="6" t="s">
        <v>67</v>
      </c>
      <c r="D26" s="30"/>
      <c r="E26" s="17">
        <f t="shared" si="5"/>
        <v>213189</v>
      </c>
      <c r="G26" s="17">
        <v>72969</v>
      </c>
      <c r="I26" s="17">
        <v>286158</v>
      </c>
      <c r="K26" s="17">
        <f>+Q26-M26-O26</f>
        <v>0</v>
      </c>
      <c r="U26" s="17">
        <f>Y26-W26-S26</f>
        <v>0</v>
      </c>
      <c r="W26" s="17">
        <v>498322</v>
      </c>
      <c r="Y26" s="17">
        <v>498322</v>
      </c>
      <c r="AA26" s="17">
        <f t="shared" si="1"/>
        <v>0</v>
      </c>
      <c r="AB26" s="33"/>
      <c r="AC26" s="33">
        <f t="shared" si="2"/>
        <v>0</v>
      </c>
    </row>
    <row r="27" spans="1:31">
      <c r="A27" s="5" t="s">
        <v>355</v>
      </c>
      <c r="B27" s="6"/>
      <c r="C27" s="6" t="s">
        <v>44</v>
      </c>
      <c r="D27" s="30"/>
      <c r="E27" s="17">
        <f t="shared" si="5"/>
        <v>0</v>
      </c>
      <c r="K27" s="17">
        <f t="shared" si="3"/>
        <v>0</v>
      </c>
      <c r="U27" s="17">
        <f t="shared" si="4"/>
        <v>0</v>
      </c>
      <c r="AA27" s="17">
        <f t="shared" si="1"/>
        <v>0</v>
      </c>
      <c r="AB27" s="33"/>
      <c r="AC27" s="33">
        <f t="shared" si="2"/>
        <v>0</v>
      </c>
    </row>
    <row r="28" spans="1:31">
      <c r="A28" s="5" t="s">
        <v>98</v>
      </c>
      <c r="B28" s="6"/>
      <c r="C28" s="6" t="s">
        <v>54</v>
      </c>
      <c r="D28" s="30"/>
      <c r="E28" s="17">
        <f t="shared" si="5"/>
        <v>921719</v>
      </c>
      <c r="I28" s="17">
        <v>921719</v>
      </c>
      <c r="K28" s="17">
        <f>+Q28-M28-O28</f>
        <v>0</v>
      </c>
      <c r="U28" s="17">
        <f>Y28-W28-S28</f>
        <v>544802</v>
      </c>
      <c r="W28" s="17">
        <v>376917</v>
      </c>
      <c r="Y28" s="17">
        <v>921719</v>
      </c>
      <c r="AA28" s="17">
        <f t="shared" si="1"/>
        <v>0</v>
      </c>
      <c r="AB28" s="33"/>
      <c r="AC28" s="33">
        <f t="shared" si="2"/>
        <v>0</v>
      </c>
    </row>
    <row r="29" spans="1:31">
      <c r="A29" s="5" t="s">
        <v>31</v>
      </c>
      <c r="B29" s="6"/>
      <c r="C29" s="6" t="s">
        <v>45</v>
      </c>
      <c r="D29" s="30"/>
      <c r="E29" s="17">
        <f t="shared" si="5"/>
        <v>0</v>
      </c>
      <c r="K29" s="17">
        <f t="shared" si="3"/>
        <v>0</v>
      </c>
      <c r="U29" s="17">
        <f t="shared" si="4"/>
        <v>0</v>
      </c>
      <c r="AA29" s="17">
        <f t="shared" si="1"/>
        <v>0</v>
      </c>
      <c r="AB29" s="33"/>
      <c r="AC29" s="33">
        <f t="shared" si="2"/>
        <v>0</v>
      </c>
      <c r="AE29" s="17" t="s">
        <v>535</v>
      </c>
    </row>
    <row r="30" spans="1:31">
      <c r="A30" s="12" t="s">
        <v>107</v>
      </c>
      <c r="B30" s="12"/>
      <c r="C30" s="12" t="s">
        <v>108</v>
      </c>
      <c r="D30" s="30"/>
      <c r="E30" s="17">
        <f t="shared" si="5"/>
        <v>1409216</v>
      </c>
      <c r="I30" s="17">
        <v>1409216</v>
      </c>
      <c r="K30" s="17">
        <f>+Q30-M30-O30</f>
        <v>0</v>
      </c>
      <c r="U30" s="17">
        <f>Y30-W30-S30</f>
        <v>792908</v>
      </c>
      <c r="W30" s="17">
        <v>616308</v>
      </c>
      <c r="Y30" s="17">
        <v>1409216</v>
      </c>
      <c r="AA30" s="17">
        <f t="shared" si="1"/>
        <v>0</v>
      </c>
      <c r="AB30" s="33"/>
      <c r="AC30" s="33">
        <f t="shared" si="2"/>
        <v>0</v>
      </c>
    </row>
    <row r="31" spans="1:31">
      <c r="A31" s="5" t="s">
        <v>356</v>
      </c>
      <c r="B31" s="6"/>
      <c r="C31" s="6" t="s">
        <v>46</v>
      </c>
      <c r="D31" s="30"/>
      <c r="E31" s="17">
        <f t="shared" si="5"/>
        <v>0</v>
      </c>
      <c r="K31" s="17">
        <f t="shared" si="3"/>
        <v>0</v>
      </c>
      <c r="U31" s="17">
        <f t="shared" si="4"/>
        <v>0</v>
      </c>
      <c r="AA31" s="17">
        <f t="shared" si="1"/>
        <v>0</v>
      </c>
      <c r="AB31" s="33"/>
      <c r="AC31" s="33">
        <f t="shared" si="2"/>
        <v>0</v>
      </c>
    </row>
    <row r="32" spans="1:31">
      <c r="A32" s="5" t="s">
        <v>357</v>
      </c>
      <c r="B32" s="6"/>
      <c r="C32" s="6" t="s">
        <v>47</v>
      </c>
      <c r="D32" s="30"/>
      <c r="E32" s="17">
        <f t="shared" si="5"/>
        <v>0</v>
      </c>
      <c r="K32" s="17">
        <f t="shared" si="3"/>
        <v>0</v>
      </c>
      <c r="U32" s="17">
        <f t="shared" si="4"/>
        <v>0</v>
      </c>
      <c r="AA32" s="17">
        <f t="shared" si="1"/>
        <v>0</v>
      </c>
      <c r="AB32" s="33"/>
      <c r="AC32" s="33">
        <f t="shared" si="2"/>
        <v>0</v>
      </c>
    </row>
    <row r="33" spans="1:29">
      <c r="A33" s="5" t="s">
        <v>358</v>
      </c>
      <c r="B33" s="6"/>
      <c r="C33" s="6" t="s">
        <v>24</v>
      </c>
      <c r="D33" s="30"/>
      <c r="E33" s="17">
        <f t="shared" si="5"/>
        <v>0</v>
      </c>
      <c r="K33" s="17">
        <f t="shared" si="3"/>
        <v>0</v>
      </c>
      <c r="U33" s="17">
        <f t="shared" si="4"/>
        <v>0</v>
      </c>
      <c r="AA33" s="17">
        <f t="shared" si="1"/>
        <v>0</v>
      </c>
      <c r="AB33" s="33"/>
      <c r="AC33" s="33">
        <f t="shared" si="2"/>
        <v>0</v>
      </c>
    </row>
    <row r="34" spans="1:29">
      <c r="A34" s="5" t="s">
        <v>113</v>
      </c>
      <c r="B34" s="6"/>
      <c r="C34" s="6" t="s">
        <v>114</v>
      </c>
      <c r="D34" s="30"/>
      <c r="E34" s="17">
        <f t="shared" si="5"/>
        <v>13557565</v>
      </c>
      <c r="I34" s="17">
        <v>13557565</v>
      </c>
      <c r="K34" s="17">
        <f t="shared" si="3"/>
        <v>0</v>
      </c>
      <c r="U34" s="17">
        <f t="shared" si="4"/>
        <v>2557360</v>
      </c>
      <c r="W34" s="17">
        <v>11000205</v>
      </c>
      <c r="Y34" s="17">
        <v>13557565</v>
      </c>
      <c r="AA34" s="17">
        <f t="shared" si="1"/>
        <v>0</v>
      </c>
      <c r="AB34" s="33"/>
      <c r="AC34" s="33">
        <f t="shared" si="2"/>
        <v>0</v>
      </c>
    </row>
    <row r="35" spans="1:29">
      <c r="A35" s="5" t="s">
        <v>421</v>
      </c>
      <c r="B35" s="6"/>
      <c r="C35" s="6" t="s">
        <v>17</v>
      </c>
      <c r="D35" s="30"/>
      <c r="E35" s="17">
        <f t="shared" si="5"/>
        <v>13784052</v>
      </c>
      <c r="G35" s="17">
        <f>791638+16015136</f>
        <v>16806774</v>
      </c>
      <c r="I35" s="17">
        <v>30590826</v>
      </c>
      <c r="K35" s="17">
        <f t="shared" si="3"/>
        <v>5348825</v>
      </c>
      <c r="M35" s="17">
        <v>237863</v>
      </c>
      <c r="O35" s="17">
        <v>446856</v>
      </c>
      <c r="Q35" s="17">
        <v>6033544</v>
      </c>
      <c r="S35" s="17">
        <v>16340379</v>
      </c>
      <c r="U35" s="17">
        <f t="shared" si="4"/>
        <v>491950</v>
      </c>
      <c r="W35" s="17">
        <v>7724953</v>
      </c>
      <c r="Y35" s="17">
        <v>24557282</v>
      </c>
      <c r="AA35" s="17">
        <f t="shared" si="1"/>
        <v>0</v>
      </c>
      <c r="AB35" s="33"/>
      <c r="AC35" s="33">
        <f t="shared" si="2"/>
        <v>0</v>
      </c>
    </row>
    <row r="36" spans="1:29">
      <c r="A36" s="5" t="s">
        <v>422</v>
      </c>
      <c r="B36" s="6"/>
      <c r="C36" s="6" t="s">
        <v>17</v>
      </c>
      <c r="D36" s="30"/>
      <c r="E36" s="17">
        <f t="shared" si="5"/>
        <v>126327349</v>
      </c>
      <c r="G36" s="17">
        <f>3065354+93814476</f>
        <v>96879830</v>
      </c>
      <c r="I36" s="17">
        <v>223207179</v>
      </c>
      <c r="K36" s="17">
        <f t="shared" si="3"/>
        <v>33876308</v>
      </c>
      <c r="M36" s="17">
        <v>151124</v>
      </c>
      <c r="O36" s="17">
        <v>2813349</v>
      </c>
      <c r="Q36" s="17">
        <v>36840781</v>
      </c>
      <c r="S36" s="17">
        <v>96879830</v>
      </c>
      <c r="U36" s="17">
        <f t="shared" si="4"/>
        <v>10406618</v>
      </c>
      <c r="W36" s="17">
        <v>79079950</v>
      </c>
      <c r="Y36" s="17">
        <v>186366398</v>
      </c>
      <c r="AA36" s="17">
        <f t="shared" si="1"/>
        <v>0</v>
      </c>
      <c r="AB36" s="33"/>
      <c r="AC36" s="33">
        <f t="shared" si="2"/>
        <v>0</v>
      </c>
    </row>
    <row r="37" spans="1:29">
      <c r="A37" s="6" t="s">
        <v>359</v>
      </c>
      <c r="B37" s="6"/>
      <c r="C37" s="6" t="s">
        <v>68</v>
      </c>
      <c r="D37" s="30"/>
      <c r="E37" s="17">
        <f t="shared" si="5"/>
        <v>0</v>
      </c>
      <c r="K37" s="17">
        <f t="shared" si="3"/>
        <v>0</v>
      </c>
      <c r="U37" s="17">
        <f t="shared" si="4"/>
        <v>0</v>
      </c>
      <c r="AA37" s="17">
        <f t="shared" si="1"/>
        <v>0</v>
      </c>
      <c r="AB37" s="33"/>
      <c r="AC37" s="33">
        <f t="shared" si="2"/>
        <v>0</v>
      </c>
    </row>
    <row r="38" spans="1:29">
      <c r="A38" s="5" t="s">
        <v>360</v>
      </c>
      <c r="B38" s="6"/>
      <c r="C38" s="6" t="s">
        <v>50</v>
      </c>
      <c r="D38" s="30"/>
      <c r="E38" s="17">
        <f t="shared" si="5"/>
        <v>0</v>
      </c>
      <c r="K38" s="17">
        <f t="shared" si="3"/>
        <v>0</v>
      </c>
      <c r="U38" s="17">
        <f t="shared" si="4"/>
        <v>0</v>
      </c>
      <c r="AA38" s="17">
        <f t="shared" si="1"/>
        <v>0</v>
      </c>
      <c r="AB38" s="33"/>
      <c r="AC38" s="33">
        <f t="shared" si="2"/>
        <v>0</v>
      </c>
    </row>
    <row r="39" spans="1:29">
      <c r="A39" s="5" t="s">
        <v>121</v>
      </c>
      <c r="B39" s="6"/>
      <c r="C39" s="6" t="s">
        <v>17</v>
      </c>
      <c r="D39" s="30"/>
      <c r="E39" s="17">
        <f t="shared" si="5"/>
        <v>172975982</v>
      </c>
      <c r="G39" s="17">
        <f>12672280+38746933</f>
        <v>51419213</v>
      </c>
      <c r="I39" s="17">
        <v>224395195</v>
      </c>
      <c r="K39" s="17">
        <f t="shared" si="3"/>
        <v>43542209</v>
      </c>
      <c r="M39" s="17">
        <v>3860805</v>
      </c>
      <c r="O39" s="17">
        <v>74110666</v>
      </c>
      <c r="Q39" s="17">
        <v>121513680</v>
      </c>
      <c r="S39" s="17">
        <v>41749699</v>
      </c>
      <c r="U39" s="17">
        <f t="shared" si="4"/>
        <v>3702572</v>
      </c>
      <c r="W39" s="17">
        <v>57429244</v>
      </c>
      <c r="Y39" s="17">
        <v>102881515</v>
      </c>
      <c r="AA39" s="17">
        <f t="shared" si="1"/>
        <v>0</v>
      </c>
      <c r="AB39" s="33"/>
      <c r="AC39" s="33">
        <f t="shared" si="2"/>
        <v>0</v>
      </c>
    </row>
    <row r="40" spans="1:29">
      <c r="A40" s="5" t="s">
        <v>606</v>
      </c>
      <c r="B40" s="6"/>
      <c r="C40" s="6" t="s">
        <v>20</v>
      </c>
      <c r="D40" s="30"/>
      <c r="E40" s="17">
        <f t="shared" si="5"/>
        <v>1163677</v>
      </c>
      <c r="I40" s="17">
        <v>1163677</v>
      </c>
      <c r="K40" s="17">
        <f t="shared" si="3"/>
        <v>0</v>
      </c>
      <c r="U40" s="17">
        <f t="shared" si="4"/>
        <v>87351</v>
      </c>
      <c r="W40" s="17">
        <v>1076326</v>
      </c>
      <c r="Y40" s="17">
        <v>1163677</v>
      </c>
      <c r="AA40" s="17">
        <f t="shared" si="1"/>
        <v>0</v>
      </c>
      <c r="AB40" s="33"/>
      <c r="AC40" s="33">
        <f t="shared" si="2"/>
        <v>0</v>
      </c>
    </row>
    <row r="41" spans="1:29">
      <c r="A41" s="5" t="s">
        <v>122</v>
      </c>
      <c r="B41" s="6"/>
      <c r="C41" s="6" t="s">
        <v>53</v>
      </c>
      <c r="D41" s="30"/>
      <c r="E41" s="17">
        <f t="shared" si="5"/>
        <v>30005038</v>
      </c>
      <c r="I41" s="17">
        <v>30005038</v>
      </c>
      <c r="K41" s="17">
        <f t="shared" si="3"/>
        <v>0</v>
      </c>
      <c r="U41" s="17">
        <f t="shared" si="4"/>
        <v>416684</v>
      </c>
      <c r="W41" s="17">
        <v>29588354</v>
      </c>
      <c r="Y41" s="17">
        <v>30005038</v>
      </c>
      <c r="AA41" s="17">
        <f t="shared" si="1"/>
        <v>0</v>
      </c>
      <c r="AB41" s="33"/>
      <c r="AC41" s="33">
        <f t="shared" si="2"/>
        <v>0</v>
      </c>
    </row>
    <row r="42" spans="1:29">
      <c r="A42" s="5" t="s">
        <v>423</v>
      </c>
      <c r="B42" s="6"/>
      <c r="C42" s="6" t="s">
        <v>18</v>
      </c>
      <c r="D42" s="30"/>
      <c r="E42" s="17">
        <f t="shared" si="5"/>
        <v>2076049</v>
      </c>
      <c r="I42" s="17">
        <v>2076049</v>
      </c>
      <c r="K42" s="17">
        <f t="shared" si="3"/>
        <v>0</v>
      </c>
      <c r="U42" s="17">
        <f t="shared" si="4"/>
        <v>650104</v>
      </c>
      <c r="W42" s="17">
        <v>1425945</v>
      </c>
      <c r="Y42" s="17">
        <v>2076049</v>
      </c>
      <c r="AA42" s="17">
        <f t="shared" si="1"/>
        <v>0</v>
      </c>
      <c r="AB42" s="33"/>
      <c r="AC42" s="33">
        <f t="shared" si="2"/>
        <v>0</v>
      </c>
    </row>
    <row r="43" spans="1:29">
      <c r="A43" s="5" t="s">
        <v>16</v>
      </c>
      <c r="B43" s="6"/>
      <c r="C43" s="6" t="s">
        <v>17</v>
      </c>
      <c r="D43" s="30"/>
      <c r="E43" s="17">
        <f t="shared" si="5"/>
        <v>5617314</v>
      </c>
      <c r="I43" s="17">
        <v>5617314</v>
      </c>
      <c r="K43" s="17">
        <f t="shared" si="3"/>
        <v>0</v>
      </c>
      <c r="U43" s="17">
        <f t="shared" si="4"/>
        <v>1871139</v>
      </c>
      <c r="W43" s="17">
        <v>3746175</v>
      </c>
      <c r="Y43" s="17">
        <v>5617314</v>
      </c>
      <c r="AA43" s="17">
        <f t="shared" si="1"/>
        <v>0</v>
      </c>
      <c r="AB43" s="33"/>
      <c r="AC43" s="33">
        <f t="shared" si="2"/>
        <v>0</v>
      </c>
    </row>
    <row r="44" spans="1:29">
      <c r="A44" s="6" t="s">
        <v>362</v>
      </c>
      <c r="B44" s="6"/>
      <c r="C44" s="6" t="s">
        <v>40</v>
      </c>
      <c r="D44" s="30"/>
      <c r="E44" s="17">
        <f t="shared" si="5"/>
        <v>0</v>
      </c>
      <c r="K44" s="17">
        <f t="shared" si="3"/>
        <v>0</v>
      </c>
      <c r="U44" s="17">
        <f t="shared" si="4"/>
        <v>0</v>
      </c>
      <c r="AA44" s="17">
        <f t="shared" si="1"/>
        <v>0</v>
      </c>
      <c r="AB44" s="33"/>
      <c r="AC44" s="33">
        <f t="shared" si="2"/>
        <v>0</v>
      </c>
    </row>
    <row r="45" spans="1:29">
      <c r="A45" s="5" t="s">
        <v>361</v>
      </c>
      <c r="B45" s="6"/>
      <c r="C45" s="6" t="s">
        <v>51</v>
      </c>
      <c r="D45" s="30"/>
      <c r="E45" s="17">
        <f t="shared" si="5"/>
        <v>0</v>
      </c>
      <c r="K45" s="17">
        <f t="shared" si="3"/>
        <v>0</v>
      </c>
      <c r="U45" s="17">
        <f t="shared" si="4"/>
        <v>0</v>
      </c>
      <c r="AA45" s="17">
        <f t="shared" si="1"/>
        <v>0</v>
      </c>
      <c r="AB45" s="33"/>
      <c r="AC45" s="33">
        <f t="shared" si="2"/>
        <v>0</v>
      </c>
    </row>
    <row r="46" spans="1:29">
      <c r="A46" s="5" t="s">
        <v>363</v>
      </c>
      <c r="B46" s="6"/>
      <c r="C46" s="6" t="s">
        <v>52</v>
      </c>
      <c r="D46" s="30"/>
      <c r="E46" s="17">
        <f t="shared" si="5"/>
        <v>0</v>
      </c>
      <c r="K46" s="17">
        <f t="shared" si="3"/>
        <v>0</v>
      </c>
      <c r="U46" s="17">
        <f t="shared" si="4"/>
        <v>0</v>
      </c>
      <c r="AA46" s="17">
        <f t="shared" si="1"/>
        <v>0</v>
      </c>
      <c r="AB46" s="33"/>
      <c r="AC46" s="33">
        <f t="shared" si="2"/>
        <v>0</v>
      </c>
    </row>
    <row r="47" spans="1:29">
      <c r="A47" s="5" t="s">
        <v>364</v>
      </c>
      <c r="B47" s="6"/>
      <c r="C47" s="6" t="s">
        <v>50</v>
      </c>
      <c r="D47" s="30"/>
      <c r="E47" s="17">
        <f t="shared" si="5"/>
        <v>0</v>
      </c>
      <c r="K47" s="17">
        <f t="shared" si="3"/>
        <v>0</v>
      </c>
      <c r="U47" s="17">
        <f t="shared" si="4"/>
        <v>0</v>
      </c>
      <c r="AA47" s="17">
        <f t="shared" si="1"/>
        <v>0</v>
      </c>
      <c r="AB47" s="33"/>
      <c r="AC47" s="33">
        <f t="shared" si="2"/>
        <v>0</v>
      </c>
    </row>
    <row r="48" spans="1:29">
      <c r="A48" s="5" t="s">
        <v>365</v>
      </c>
      <c r="B48" s="6"/>
      <c r="C48" s="6" t="s">
        <v>53</v>
      </c>
      <c r="D48" s="30"/>
      <c r="E48" s="17">
        <f t="shared" si="5"/>
        <v>0</v>
      </c>
      <c r="K48" s="17">
        <f t="shared" si="3"/>
        <v>0</v>
      </c>
      <c r="U48" s="17">
        <f t="shared" si="4"/>
        <v>0</v>
      </c>
      <c r="AA48" s="17">
        <f t="shared" si="1"/>
        <v>0</v>
      </c>
      <c r="AB48" s="33"/>
      <c r="AC48" s="33">
        <f t="shared" si="2"/>
        <v>0</v>
      </c>
    </row>
    <row r="49" spans="1:29">
      <c r="A49" s="5" t="s">
        <v>33</v>
      </c>
      <c r="B49" s="6"/>
      <c r="C49" s="6" t="s">
        <v>24</v>
      </c>
      <c r="D49" s="30"/>
      <c r="E49" s="17">
        <f t="shared" si="5"/>
        <v>0</v>
      </c>
      <c r="K49" s="17">
        <f t="shared" si="3"/>
        <v>0</v>
      </c>
      <c r="U49" s="17">
        <f t="shared" si="4"/>
        <v>0</v>
      </c>
      <c r="AA49" s="17">
        <f t="shared" si="1"/>
        <v>0</v>
      </c>
      <c r="AB49" s="33"/>
      <c r="AC49" s="33">
        <f t="shared" si="2"/>
        <v>0</v>
      </c>
    </row>
    <row r="50" spans="1:29">
      <c r="A50" s="6" t="s">
        <v>371</v>
      </c>
      <c r="B50" s="6"/>
      <c r="C50" s="6" t="s">
        <v>55</v>
      </c>
      <c r="D50" s="30"/>
      <c r="E50" s="17">
        <f t="shared" si="5"/>
        <v>0</v>
      </c>
      <c r="K50" s="17">
        <f t="shared" si="3"/>
        <v>0</v>
      </c>
      <c r="U50" s="17">
        <f t="shared" si="4"/>
        <v>0</v>
      </c>
      <c r="AA50" s="17">
        <f t="shared" si="1"/>
        <v>0</v>
      </c>
      <c r="AB50" s="33"/>
      <c r="AC50" s="33">
        <f t="shared" si="2"/>
        <v>0</v>
      </c>
    </row>
    <row r="51" spans="1:29">
      <c r="A51" s="6" t="s">
        <v>149</v>
      </c>
      <c r="B51" s="6"/>
      <c r="C51" s="6" t="s">
        <v>150</v>
      </c>
      <c r="D51" s="30"/>
      <c r="E51" s="17">
        <f t="shared" si="5"/>
        <v>8915298</v>
      </c>
      <c r="I51" s="17">
        <v>8915298</v>
      </c>
      <c r="K51" s="17">
        <f t="shared" si="3"/>
        <v>0</v>
      </c>
      <c r="U51" s="17">
        <f t="shared" si="4"/>
        <v>4018745</v>
      </c>
      <c r="W51" s="17">
        <v>4896553</v>
      </c>
      <c r="Y51" s="17">
        <v>8915298</v>
      </c>
      <c r="AA51" s="17">
        <f t="shared" si="1"/>
        <v>0</v>
      </c>
      <c r="AB51" s="33"/>
      <c r="AC51" s="33">
        <f t="shared" si="2"/>
        <v>0</v>
      </c>
    </row>
    <row r="52" spans="1:29">
      <c r="A52" s="5" t="s">
        <v>34</v>
      </c>
      <c r="B52" s="6"/>
      <c r="C52" s="6" t="s">
        <v>55</v>
      </c>
      <c r="D52" s="30"/>
      <c r="E52" s="17">
        <f t="shared" si="5"/>
        <v>0</v>
      </c>
      <c r="K52" s="17">
        <f t="shared" si="3"/>
        <v>0</v>
      </c>
      <c r="U52" s="17">
        <f t="shared" si="4"/>
        <v>0</v>
      </c>
      <c r="AA52" s="17">
        <f t="shared" si="1"/>
        <v>0</v>
      </c>
      <c r="AB52" s="33"/>
      <c r="AC52" s="33">
        <f t="shared" si="2"/>
        <v>0</v>
      </c>
    </row>
    <row r="53" spans="1:29">
      <c r="A53" s="5" t="s">
        <v>366</v>
      </c>
      <c r="B53" s="6"/>
      <c r="C53" s="6" t="s">
        <v>56</v>
      </c>
      <c r="D53" s="30"/>
      <c r="E53" s="17">
        <f t="shared" si="5"/>
        <v>0</v>
      </c>
      <c r="K53" s="17">
        <f t="shared" si="3"/>
        <v>0</v>
      </c>
      <c r="U53" s="17">
        <f t="shared" si="4"/>
        <v>0</v>
      </c>
      <c r="AA53" s="17">
        <f t="shared" si="1"/>
        <v>0</v>
      </c>
      <c r="AB53" s="33"/>
      <c r="AC53" s="33">
        <f t="shared" si="2"/>
        <v>0</v>
      </c>
    </row>
    <row r="54" spans="1:29">
      <c r="A54" s="6" t="s">
        <v>162</v>
      </c>
      <c r="B54" s="6"/>
      <c r="C54" s="6" t="s">
        <v>54</v>
      </c>
      <c r="D54" s="30"/>
      <c r="E54" s="17">
        <f t="shared" si="5"/>
        <v>0</v>
      </c>
      <c r="K54" s="17">
        <f>+Q54-M54-O54</f>
        <v>0</v>
      </c>
      <c r="U54" s="17">
        <f>Y54-W54-S54</f>
        <v>0</v>
      </c>
      <c r="AA54" s="17">
        <f t="shared" si="1"/>
        <v>0</v>
      </c>
      <c r="AB54" s="33"/>
      <c r="AC54" s="33">
        <f t="shared" si="2"/>
        <v>0</v>
      </c>
    </row>
    <row r="55" spans="1:29">
      <c r="A55" s="5" t="s">
        <v>35</v>
      </c>
      <c r="B55" s="6"/>
      <c r="C55" s="6" t="s">
        <v>10</v>
      </c>
      <c r="D55" s="30"/>
      <c r="E55" s="17">
        <f t="shared" si="5"/>
        <v>0</v>
      </c>
      <c r="K55" s="17">
        <f t="shared" si="3"/>
        <v>0</v>
      </c>
      <c r="U55" s="17">
        <f t="shared" si="4"/>
        <v>0</v>
      </c>
      <c r="AA55" s="17">
        <f t="shared" si="1"/>
        <v>0</v>
      </c>
      <c r="AB55" s="33"/>
      <c r="AC55" s="33">
        <f t="shared" si="2"/>
        <v>0</v>
      </c>
    </row>
    <row r="56" spans="1:29">
      <c r="A56" s="6" t="s">
        <v>370</v>
      </c>
      <c r="B56" s="6"/>
      <c r="C56" s="6" t="s">
        <v>168</v>
      </c>
      <c r="D56" s="30"/>
      <c r="E56" s="17">
        <f t="shared" si="5"/>
        <v>0</v>
      </c>
      <c r="K56" s="17">
        <f t="shared" si="3"/>
        <v>0</v>
      </c>
      <c r="U56" s="17">
        <f t="shared" si="4"/>
        <v>0</v>
      </c>
      <c r="AA56" s="17">
        <f t="shared" si="1"/>
        <v>0</v>
      </c>
      <c r="AB56" s="33"/>
      <c r="AC56" s="33">
        <f t="shared" si="2"/>
        <v>0</v>
      </c>
    </row>
    <row r="57" spans="1:29">
      <c r="A57" s="5" t="s">
        <v>367</v>
      </c>
      <c r="B57" s="6"/>
      <c r="C57" s="6" t="s">
        <v>57</v>
      </c>
      <c r="D57" s="30"/>
      <c r="E57" s="17">
        <f t="shared" si="5"/>
        <v>0</v>
      </c>
      <c r="K57" s="17">
        <f t="shared" si="3"/>
        <v>0</v>
      </c>
      <c r="U57" s="17">
        <f t="shared" si="4"/>
        <v>0</v>
      </c>
      <c r="AA57" s="17">
        <f t="shared" si="1"/>
        <v>0</v>
      </c>
      <c r="AB57" s="33"/>
      <c r="AC57" s="33">
        <f t="shared" si="2"/>
        <v>0</v>
      </c>
    </row>
    <row r="58" spans="1:29">
      <c r="A58" s="5" t="s">
        <v>368</v>
      </c>
      <c r="B58" s="6"/>
      <c r="C58" s="6" t="s">
        <v>52</v>
      </c>
      <c r="D58" s="30"/>
      <c r="E58" s="17">
        <f t="shared" si="5"/>
        <v>0</v>
      </c>
      <c r="K58" s="17">
        <f t="shared" si="3"/>
        <v>0</v>
      </c>
      <c r="U58" s="17">
        <f t="shared" si="4"/>
        <v>0</v>
      </c>
      <c r="AA58" s="17">
        <f t="shared" si="1"/>
        <v>0</v>
      </c>
      <c r="AB58" s="33"/>
      <c r="AC58" s="33">
        <f t="shared" si="2"/>
        <v>0</v>
      </c>
    </row>
    <row r="59" spans="1:29">
      <c r="A59" s="5" t="s">
        <v>369</v>
      </c>
      <c r="B59" s="6"/>
      <c r="C59" s="6" t="s">
        <v>49</v>
      </c>
      <c r="D59" s="34"/>
      <c r="E59" s="17">
        <f t="shared" si="5"/>
        <v>0</v>
      </c>
      <c r="K59" s="17">
        <f t="shared" si="3"/>
        <v>0</v>
      </c>
      <c r="U59" s="17">
        <f t="shared" si="4"/>
        <v>0</v>
      </c>
      <c r="AA59" s="17">
        <f t="shared" si="1"/>
        <v>0</v>
      </c>
      <c r="AB59" s="33"/>
      <c r="AC59" s="33">
        <f t="shared" si="2"/>
        <v>0</v>
      </c>
    </row>
    <row r="60" spans="1:29">
      <c r="A60" s="12" t="s">
        <v>421</v>
      </c>
      <c r="B60" s="6"/>
      <c r="C60" s="6" t="s">
        <v>17</v>
      </c>
      <c r="D60" s="30"/>
      <c r="E60" s="17">
        <f t="shared" si="5"/>
        <v>0</v>
      </c>
      <c r="K60" s="17">
        <f t="shared" si="3"/>
        <v>0</v>
      </c>
      <c r="U60" s="17">
        <f t="shared" si="4"/>
        <v>0</v>
      </c>
      <c r="AA60" s="17">
        <f t="shared" si="1"/>
        <v>0</v>
      </c>
      <c r="AB60" s="33"/>
      <c r="AC60" s="33">
        <f t="shared" si="2"/>
        <v>0</v>
      </c>
    </row>
    <row r="61" spans="1:29">
      <c r="A61" s="12" t="s">
        <v>422</v>
      </c>
      <c r="B61" s="12"/>
      <c r="C61" s="12" t="s">
        <v>17</v>
      </c>
      <c r="D61" s="30"/>
      <c r="E61" s="17">
        <f t="shared" si="5"/>
        <v>0</v>
      </c>
      <c r="K61" s="17">
        <f t="shared" si="3"/>
        <v>0</v>
      </c>
      <c r="U61" s="17">
        <f t="shared" si="4"/>
        <v>0</v>
      </c>
      <c r="AA61" s="17">
        <f t="shared" si="1"/>
        <v>0</v>
      </c>
      <c r="AB61" s="33"/>
      <c r="AC61" s="33">
        <f t="shared" si="2"/>
        <v>0</v>
      </c>
    </row>
    <row r="62" spans="1:29">
      <c r="A62" s="6" t="s">
        <v>382</v>
      </c>
      <c r="B62" s="6"/>
      <c r="C62" s="6" t="s">
        <v>183</v>
      </c>
      <c r="D62" s="30"/>
      <c r="E62" s="17">
        <f t="shared" si="5"/>
        <v>0</v>
      </c>
      <c r="K62" s="17">
        <f t="shared" si="3"/>
        <v>0</v>
      </c>
      <c r="U62" s="17">
        <f t="shared" si="4"/>
        <v>0</v>
      </c>
      <c r="AA62" s="17">
        <f t="shared" si="1"/>
        <v>0</v>
      </c>
      <c r="AB62" s="33"/>
      <c r="AC62" s="33">
        <f t="shared" si="2"/>
        <v>0</v>
      </c>
    </row>
    <row r="63" spans="1:29">
      <c r="A63" s="5" t="s">
        <v>372</v>
      </c>
      <c r="B63" s="6"/>
      <c r="C63" s="6" t="s">
        <v>52</v>
      </c>
      <c r="D63" s="30"/>
      <c r="E63" s="17">
        <f t="shared" si="5"/>
        <v>0</v>
      </c>
      <c r="K63" s="17">
        <f t="shared" si="3"/>
        <v>0</v>
      </c>
      <c r="U63" s="17">
        <f t="shared" si="4"/>
        <v>0</v>
      </c>
      <c r="AA63" s="17">
        <f t="shared" si="1"/>
        <v>0</v>
      </c>
      <c r="AB63" s="33"/>
      <c r="AC63" s="33">
        <f t="shared" si="2"/>
        <v>0</v>
      </c>
    </row>
    <row r="64" spans="1:29">
      <c r="A64" s="5" t="s">
        <v>373</v>
      </c>
      <c r="B64" s="6"/>
      <c r="C64" s="6" t="s">
        <v>59</v>
      </c>
      <c r="D64" s="30"/>
      <c r="E64" s="17">
        <f t="shared" si="5"/>
        <v>0</v>
      </c>
      <c r="K64" s="17">
        <f t="shared" si="3"/>
        <v>0</v>
      </c>
      <c r="U64" s="17">
        <f t="shared" si="4"/>
        <v>0</v>
      </c>
      <c r="AA64" s="17">
        <f t="shared" si="1"/>
        <v>0</v>
      </c>
      <c r="AB64" s="33"/>
      <c r="AC64" s="33">
        <f t="shared" si="2"/>
        <v>0</v>
      </c>
    </row>
    <row r="65" spans="1:29">
      <c r="A65" s="5" t="s">
        <v>374</v>
      </c>
      <c r="B65" s="6"/>
      <c r="C65" s="6" t="s">
        <v>52</v>
      </c>
      <c r="D65" s="34"/>
      <c r="E65" s="17">
        <f t="shared" si="5"/>
        <v>0</v>
      </c>
      <c r="K65" s="17">
        <f t="shared" si="3"/>
        <v>0</v>
      </c>
      <c r="U65" s="17">
        <f t="shared" si="4"/>
        <v>0</v>
      </c>
      <c r="AA65" s="17">
        <f t="shared" si="1"/>
        <v>0</v>
      </c>
      <c r="AB65" s="33"/>
      <c r="AC65" s="33">
        <f t="shared" si="2"/>
        <v>0</v>
      </c>
    </row>
    <row r="66" spans="1:29">
      <c r="A66" s="5" t="s">
        <v>375</v>
      </c>
      <c r="B66" s="6"/>
      <c r="C66" s="6" t="s">
        <v>60</v>
      </c>
      <c r="D66" s="30"/>
      <c r="E66" s="17">
        <f t="shared" ref="E66:E97" si="6">+I66-G66</f>
        <v>0</v>
      </c>
      <c r="K66" s="17">
        <f t="shared" si="3"/>
        <v>0</v>
      </c>
      <c r="U66" s="17">
        <f t="shared" si="4"/>
        <v>0</v>
      </c>
      <c r="AA66" s="17">
        <f t="shared" si="1"/>
        <v>0</v>
      </c>
      <c r="AB66" s="33"/>
      <c r="AC66" s="33">
        <f t="shared" si="2"/>
        <v>0</v>
      </c>
    </row>
    <row r="67" spans="1:29">
      <c r="A67" s="1" t="s">
        <v>70</v>
      </c>
      <c r="B67" s="1"/>
      <c r="C67" s="1" t="s">
        <v>48</v>
      </c>
      <c r="D67" s="30"/>
      <c r="E67" s="17">
        <f t="shared" si="6"/>
        <v>0</v>
      </c>
      <c r="K67" s="17">
        <f t="shared" si="3"/>
        <v>0</v>
      </c>
      <c r="U67" s="17">
        <f t="shared" si="4"/>
        <v>0</v>
      </c>
      <c r="AA67" s="17">
        <f t="shared" si="1"/>
        <v>0</v>
      </c>
      <c r="AB67" s="33"/>
      <c r="AC67" s="33">
        <f t="shared" si="2"/>
        <v>0</v>
      </c>
    </row>
    <row r="68" spans="1:29">
      <c r="A68" s="5" t="s">
        <v>376</v>
      </c>
      <c r="B68" s="6"/>
      <c r="C68" s="6" t="s">
        <v>23</v>
      </c>
      <c r="D68" s="30"/>
      <c r="E68" s="17">
        <f t="shared" si="6"/>
        <v>0</v>
      </c>
      <c r="K68" s="17">
        <f t="shared" si="3"/>
        <v>0</v>
      </c>
      <c r="U68" s="17">
        <f t="shared" si="4"/>
        <v>0</v>
      </c>
      <c r="Y68" s="8"/>
      <c r="AA68" s="17">
        <f t="shared" si="1"/>
        <v>0</v>
      </c>
      <c r="AB68" s="33"/>
      <c r="AC68" s="33">
        <f t="shared" si="2"/>
        <v>0</v>
      </c>
    </row>
    <row r="69" spans="1:29">
      <c r="A69" s="5" t="s">
        <v>377</v>
      </c>
      <c r="B69" s="6"/>
      <c r="C69" s="6" t="s">
        <v>348</v>
      </c>
      <c r="D69" s="30"/>
      <c r="E69" s="17">
        <f t="shared" si="6"/>
        <v>0</v>
      </c>
      <c r="K69" s="17">
        <f>+Q69-M69-O69</f>
        <v>0</v>
      </c>
      <c r="U69" s="17">
        <f>Y69-W69-S69</f>
        <v>0</v>
      </c>
      <c r="AA69" s="17">
        <f t="shared" si="1"/>
        <v>0</v>
      </c>
      <c r="AB69" s="33"/>
      <c r="AC69" s="33">
        <f t="shared" si="2"/>
        <v>0</v>
      </c>
    </row>
    <row r="70" spans="1:29">
      <c r="A70" s="6" t="s">
        <v>383</v>
      </c>
      <c r="B70" s="6"/>
      <c r="C70" s="6" t="s">
        <v>10</v>
      </c>
      <c r="D70" s="30"/>
      <c r="E70" s="17">
        <f t="shared" si="6"/>
        <v>0</v>
      </c>
      <c r="K70" s="17">
        <f>+Q70-M70-O70</f>
        <v>0</v>
      </c>
      <c r="U70" s="17">
        <f>Y70-W70-S70</f>
        <v>0</v>
      </c>
      <c r="AA70" s="17">
        <f t="shared" si="1"/>
        <v>0</v>
      </c>
      <c r="AB70" s="33"/>
      <c r="AC70" s="33">
        <f t="shared" si="2"/>
        <v>0</v>
      </c>
    </row>
    <row r="71" spans="1:29">
      <c r="A71" s="1" t="s">
        <v>359</v>
      </c>
      <c r="B71" s="1"/>
      <c r="C71" s="1" t="s">
        <v>68</v>
      </c>
      <c r="D71" s="30"/>
      <c r="E71" s="17">
        <f t="shared" si="6"/>
        <v>0</v>
      </c>
      <c r="K71" s="17">
        <v>0</v>
      </c>
      <c r="U71" s="17">
        <v>0</v>
      </c>
      <c r="AA71" s="17">
        <f t="shared" si="1"/>
        <v>0</v>
      </c>
      <c r="AB71" s="33"/>
      <c r="AC71" s="33">
        <f t="shared" si="2"/>
        <v>0</v>
      </c>
    </row>
    <row r="72" spans="1:29">
      <c r="A72" s="1" t="s">
        <v>360</v>
      </c>
      <c r="B72" s="1"/>
      <c r="C72" s="1" t="s">
        <v>50</v>
      </c>
      <c r="E72" s="17">
        <f t="shared" si="6"/>
        <v>0</v>
      </c>
      <c r="K72" s="17">
        <v>0</v>
      </c>
      <c r="U72" s="17">
        <v>0</v>
      </c>
      <c r="AA72" s="17">
        <f t="shared" si="1"/>
        <v>0</v>
      </c>
      <c r="AB72" s="33"/>
      <c r="AC72" s="33">
        <f t="shared" si="2"/>
        <v>0</v>
      </c>
    </row>
    <row r="73" spans="1:29" s="33" customFormat="1">
      <c r="A73" s="5" t="s">
        <v>378</v>
      </c>
      <c r="B73" s="6"/>
      <c r="C73" s="6" t="s">
        <v>63</v>
      </c>
      <c r="D73" s="17"/>
      <c r="E73" s="17">
        <f t="shared" si="6"/>
        <v>0</v>
      </c>
      <c r="F73" s="17"/>
      <c r="G73" s="17"/>
      <c r="H73" s="17"/>
      <c r="I73" s="17"/>
      <c r="K73" s="33">
        <v>0</v>
      </c>
      <c r="U73" s="33">
        <f>Y73-W73-S73</f>
        <v>0</v>
      </c>
      <c r="AA73" s="17">
        <f t="shared" si="1"/>
        <v>0</v>
      </c>
      <c r="AC73" s="33">
        <f t="shared" si="2"/>
        <v>0</v>
      </c>
    </row>
    <row r="74" spans="1:29">
      <c r="A74" s="12" t="s">
        <v>121</v>
      </c>
      <c r="B74" s="6"/>
      <c r="C74" s="6" t="s">
        <v>17</v>
      </c>
      <c r="D74" s="31"/>
      <c r="E74" s="17">
        <f t="shared" si="6"/>
        <v>0</v>
      </c>
      <c r="F74" s="33"/>
      <c r="G74" s="33"/>
      <c r="H74" s="33"/>
      <c r="I74" s="33"/>
      <c r="K74" s="17">
        <v>0</v>
      </c>
      <c r="U74" s="17">
        <f t="shared" ref="U74:U132" si="7">Y74-W74-S74</f>
        <v>0</v>
      </c>
      <c r="AA74" s="17">
        <f t="shared" si="1"/>
        <v>0</v>
      </c>
      <c r="AB74" s="33"/>
      <c r="AC74" s="33">
        <f t="shared" si="2"/>
        <v>0</v>
      </c>
    </row>
    <row r="75" spans="1:29">
      <c r="A75" s="6" t="s">
        <v>220</v>
      </c>
      <c r="B75" s="6"/>
      <c r="C75" s="6" t="s">
        <v>55</v>
      </c>
      <c r="D75" s="30"/>
      <c r="E75" s="17">
        <f t="shared" si="6"/>
        <v>0</v>
      </c>
      <c r="K75" s="17">
        <v>0</v>
      </c>
      <c r="U75" s="17">
        <f t="shared" si="7"/>
        <v>0</v>
      </c>
      <c r="AA75" s="17">
        <f t="shared" si="1"/>
        <v>0</v>
      </c>
      <c r="AB75" s="33"/>
      <c r="AC75" s="33">
        <f t="shared" si="2"/>
        <v>0</v>
      </c>
    </row>
    <row r="76" spans="1:29">
      <c r="A76" s="5" t="s">
        <v>379</v>
      </c>
      <c r="B76" s="6"/>
      <c r="C76" s="6" t="s">
        <v>20</v>
      </c>
      <c r="D76" s="30"/>
      <c r="E76" s="17">
        <f t="shared" si="6"/>
        <v>0</v>
      </c>
      <c r="K76" s="17">
        <v>0</v>
      </c>
      <c r="U76" s="17">
        <f t="shared" si="7"/>
        <v>0</v>
      </c>
      <c r="AA76" s="17">
        <f t="shared" si="1"/>
        <v>0</v>
      </c>
      <c r="AB76" s="33"/>
      <c r="AC76" s="33">
        <f t="shared" si="2"/>
        <v>0</v>
      </c>
    </row>
    <row r="77" spans="1:29">
      <c r="A77" s="5" t="s">
        <v>380</v>
      </c>
      <c r="B77" s="6"/>
      <c r="C77" s="6" t="s">
        <v>64</v>
      </c>
      <c r="D77" s="30"/>
      <c r="E77" s="17">
        <f t="shared" si="6"/>
        <v>0</v>
      </c>
      <c r="K77" s="17">
        <f>+Q77-M77-O77</f>
        <v>0</v>
      </c>
      <c r="U77" s="17">
        <f>Y77-W77-S77</f>
        <v>0</v>
      </c>
      <c r="AA77" s="17">
        <f t="shared" si="1"/>
        <v>0</v>
      </c>
      <c r="AB77" s="33"/>
      <c r="AC77" s="33">
        <f t="shared" si="2"/>
        <v>0</v>
      </c>
    </row>
    <row r="78" spans="1:29">
      <c r="A78" s="12" t="s">
        <v>122</v>
      </c>
      <c r="B78" s="12"/>
      <c r="C78" s="12" t="s">
        <v>53</v>
      </c>
      <c r="D78" s="30"/>
      <c r="E78" s="17">
        <f t="shared" si="6"/>
        <v>0</v>
      </c>
      <c r="K78" s="17">
        <f>+Q78-M78-O78</f>
        <v>0</v>
      </c>
      <c r="U78" s="17">
        <f>Y78-W78-S78</f>
        <v>0</v>
      </c>
      <c r="AA78" s="17">
        <f t="shared" si="1"/>
        <v>0</v>
      </c>
      <c r="AB78" s="33"/>
      <c r="AC78" s="33">
        <f t="shared" si="2"/>
        <v>0</v>
      </c>
    </row>
    <row r="79" spans="1:29">
      <c r="A79" s="5" t="s">
        <v>381</v>
      </c>
      <c r="B79" s="6"/>
      <c r="C79" s="6" t="s">
        <v>10</v>
      </c>
      <c r="D79" s="30"/>
      <c r="E79" s="17">
        <f t="shared" si="6"/>
        <v>0</v>
      </c>
      <c r="K79" s="17">
        <f t="shared" ref="K79:K132" si="8">+Q79-M79-O79</f>
        <v>0</v>
      </c>
      <c r="U79" s="17">
        <f t="shared" si="7"/>
        <v>0</v>
      </c>
      <c r="AA79" s="17">
        <f t="shared" si="1"/>
        <v>0</v>
      </c>
      <c r="AB79" s="33"/>
      <c r="AC79" s="33">
        <f t="shared" si="2"/>
        <v>0</v>
      </c>
    </row>
    <row r="80" spans="1:29">
      <c r="A80" s="12" t="s">
        <v>125</v>
      </c>
      <c r="B80" s="12"/>
      <c r="C80" s="12" t="s">
        <v>68</v>
      </c>
      <c r="D80" s="30"/>
      <c r="E80" s="17">
        <f t="shared" si="6"/>
        <v>0</v>
      </c>
      <c r="K80" s="17">
        <f t="shared" si="8"/>
        <v>0</v>
      </c>
      <c r="U80" s="17">
        <f t="shared" si="7"/>
        <v>0</v>
      </c>
      <c r="AA80" s="17">
        <f t="shared" si="1"/>
        <v>0</v>
      </c>
      <c r="AB80" s="33"/>
      <c r="AC80" s="33">
        <f t="shared" si="2"/>
        <v>0</v>
      </c>
    </row>
    <row r="81" spans="1:29">
      <c r="A81" s="5" t="s">
        <v>384</v>
      </c>
      <c r="B81" s="6"/>
      <c r="C81" s="6" t="s">
        <v>44</v>
      </c>
      <c r="D81" s="30"/>
      <c r="E81" s="17">
        <f t="shared" si="6"/>
        <v>0</v>
      </c>
      <c r="K81" s="17">
        <f>+Q81-M81-O81</f>
        <v>0</v>
      </c>
      <c r="U81" s="17">
        <v>0</v>
      </c>
      <c r="AA81" s="17">
        <f t="shared" si="1"/>
        <v>0</v>
      </c>
      <c r="AB81" s="33"/>
      <c r="AC81" s="33">
        <f t="shared" si="2"/>
        <v>0</v>
      </c>
    </row>
    <row r="82" spans="1:29">
      <c r="A82" s="5" t="s">
        <v>385</v>
      </c>
      <c r="B82" s="6"/>
      <c r="C82" s="6" t="s">
        <v>59</v>
      </c>
      <c r="D82" s="30"/>
      <c r="E82" s="17">
        <f t="shared" si="6"/>
        <v>0</v>
      </c>
      <c r="K82" s="17">
        <f t="shared" si="8"/>
        <v>0</v>
      </c>
      <c r="U82" s="17">
        <f t="shared" si="7"/>
        <v>0</v>
      </c>
      <c r="AA82" s="17">
        <f t="shared" si="1"/>
        <v>0</v>
      </c>
      <c r="AB82" s="33"/>
      <c r="AC82" s="33">
        <f t="shared" si="2"/>
        <v>0</v>
      </c>
    </row>
    <row r="83" spans="1:29">
      <c r="A83" s="6" t="s">
        <v>240</v>
      </c>
      <c r="B83" s="6"/>
      <c r="C83" s="6" t="s">
        <v>165</v>
      </c>
      <c r="D83" s="30"/>
      <c r="E83" s="17">
        <f t="shared" si="6"/>
        <v>0</v>
      </c>
      <c r="K83" s="17">
        <f t="shared" si="8"/>
        <v>0</v>
      </c>
      <c r="U83" s="17">
        <f t="shared" si="7"/>
        <v>0</v>
      </c>
      <c r="AA83" s="17">
        <f t="shared" si="1"/>
        <v>0</v>
      </c>
      <c r="AB83" s="33"/>
      <c r="AC83" s="33">
        <f t="shared" si="2"/>
        <v>0</v>
      </c>
    </row>
    <row r="84" spans="1:29">
      <c r="A84" s="5" t="s">
        <v>386</v>
      </c>
      <c r="B84" s="6"/>
      <c r="C84" s="6" t="s">
        <v>41</v>
      </c>
      <c r="D84" s="30"/>
      <c r="E84" s="17">
        <f t="shared" si="6"/>
        <v>0</v>
      </c>
      <c r="K84" s="17">
        <f t="shared" si="8"/>
        <v>0</v>
      </c>
      <c r="U84" s="17">
        <f t="shared" si="7"/>
        <v>0</v>
      </c>
      <c r="AA84" s="17">
        <f t="shared" si="1"/>
        <v>0</v>
      </c>
      <c r="AB84" s="33"/>
      <c r="AC84" s="33">
        <f t="shared" si="2"/>
        <v>0</v>
      </c>
    </row>
    <row r="85" spans="1:29" s="33" customFormat="1">
      <c r="A85" s="5" t="s">
        <v>387</v>
      </c>
      <c r="B85" s="6"/>
      <c r="C85" s="6" t="s">
        <v>48</v>
      </c>
      <c r="D85" s="30"/>
      <c r="E85" s="17">
        <f t="shared" si="6"/>
        <v>0</v>
      </c>
      <c r="F85" s="17"/>
      <c r="G85" s="17"/>
      <c r="H85" s="17"/>
      <c r="I85" s="17"/>
      <c r="J85" s="17"/>
      <c r="K85" s="17">
        <f t="shared" si="8"/>
        <v>0</v>
      </c>
      <c r="L85" s="17"/>
      <c r="M85" s="17"/>
      <c r="N85" s="17"/>
      <c r="O85" s="17"/>
      <c r="P85" s="17"/>
      <c r="Q85" s="17"/>
      <c r="R85" s="17"/>
      <c r="S85" s="17"/>
      <c r="T85" s="17"/>
      <c r="U85" s="17">
        <f t="shared" si="7"/>
        <v>0</v>
      </c>
      <c r="V85" s="17"/>
      <c r="W85" s="17"/>
      <c r="X85" s="17"/>
      <c r="Y85" s="17"/>
      <c r="AA85" s="17">
        <f t="shared" si="1"/>
        <v>0</v>
      </c>
      <c r="AC85" s="33">
        <f t="shared" si="2"/>
        <v>0</v>
      </c>
    </row>
    <row r="86" spans="1:29">
      <c r="A86" s="5" t="s">
        <v>388</v>
      </c>
      <c r="B86" s="6"/>
      <c r="C86" s="6" t="s">
        <v>60</v>
      </c>
      <c r="D86" s="31"/>
      <c r="E86" s="17">
        <f t="shared" si="6"/>
        <v>0</v>
      </c>
      <c r="K86" s="17">
        <f t="shared" si="8"/>
        <v>0</v>
      </c>
      <c r="U86" s="17">
        <f t="shared" si="7"/>
        <v>0</v>
      </c>
      <c r="AA86" s="17">
        <f t="shared" si="1"/>
        <v>0</v>
      </c>
      <c r="AB86" s="33"/>
      <c r="AC86" s="33">
        <f t="shared" si="2"/>
        <v>0</v>
      </c>
    </row>
    <row r="87" spans="1:29">
      <c r="A87" s="5" t="s">
        <v>389</v>
      </c>
      <c r="B87" s="6"/>
      <c r="C87" s="6" t="s">
        <v>66</v>
      </c>
      <c r="D87" s="30"/>
      <c r="E87" s="17">
        <f t="shared" si="6"/>
        <v>0</v>
      </c>
      <c r="K87" s="17">
        <f t="shared" si="8"/>
        <v>0</v>
      </c>
      <c r="U87" s="17">
        <f t="shared" si="7"/>
        <v>0</v>
      </c>
      <c r="AA87" s="17">
        <f t="shared" ref="AA87:AA157" si="9">+H87-P87-X87</f>
        <v>0</v>
      </c>
      <c r="AB87" s="33"/>
      <c r="AC87" s="33">
        <f t="shared" ref="AC87:AC157" si="10">+D87+F87+-J87-L87-R87-T87-V87-N87</f>
        <v>0</v>
      </c>
    </row>
    <row r="88" spans="1:29">
      <c r="A88" s="5" t="s">
        <v>390</v>
      </c>
      <c r="B88" s="6"/>
      <c r="C88" s="6" t="s">
        <v>43</v>
      </c>
      <c r="D88" s="30"/>
      <c r="E88" s="17">
        <f t="shared" si="6"/>
        <v>0</v>
      </c>
      <c r="K88" s="17">
        <f t="shared" si="8"/>
        <v>0</v>
      </c>
      <c r="U88" s="17">
        <f t="shared" si="7"/>
        <v>0</v>
      </c>
      <c r="AA88" s="17">
        <f t="shared" si="9"/>
        <v>0</v>
      </c>
      <c r="AB88" s="33"/>
      <c r="AC88" s="33">
        <f t="shared" si="10"/>
        <v>0</v>
      </c>
    </row>
    <row r="89" spans="1:29">
      <c r="A89" s="1" t="s">
        <v>506</v>
      </c>
      <c r="B89" s="1"/>
      <c r="C89" s="1" t="s">
        <v>17</v>
      </c>
      <c r="D89" s="30"/>
      <c r="E89" s="17">
        <f t="shared" si="6"/>
        <v>0</v>
      </c>
      <c r="K89" s="17">
        <f t="shared" si="8"/>
        <v>0</v>
      </c>
      <c r="U89" s="17">
        <f t="shared" si="7"/>
        <v>0</v>
      </c>
      <c r="AA89" s="17">
        <f t="shared" si="9"/>
        <v>0</v>
      </c>
      <c r="AB89" s="33"/>
      <c r="AC89" s="33">
        <f t="shared" si="10"/>
        <v>0</v>
      </c>
    </row>
    <row r="90" spans="1:29">
      <c r="A90" s="5" t="s">
        <v>391</v>
      </c>
      <c r="B90" s="6"/>
      <c r="C90" s="6" t="s">
        <v>42</v>
      </c>
      <c r="D90" s="30"/>
      <c r="E90" s="17">
        <f t="shared" si="6"/>
        <v>0</v>
      </c>
      <c r="K90" s="17">
        <f t="shared" si="8"/>
        <v>0</v>
      </c>
      <c r="U90" s="17">
        <f t="shared" si="7"/>
        <v>0</v>
      </c>
      <c r="AA90" s="17">
        <f t="shared" si="9"/>
        <v>0</v>
      </c>
      <c r="AB90" s="33"/>
      <c r="AC90" s="33">
        <f t="shared" si="10"/>
        <v>0</v>
      </c>
    </row>
    <row r="91" spans="1:29">
      <c r="A91" s="5" t="s">
        <v>392</v>
      </c>
      <c r="B91" s="6"/>
      <c r="C91" s="6" t="s">
        <v>11</v>
      </c>
      <c r="D91" s="30"/>
      <c r="E91" s="17">
        <f t="shared" si="6"/>
        <v>0</v>
      </c>
      <c r="K91" s="17">
        <f t="shared" si="8"/>
        <v>0</v>
      </c>
      <c r="U91" s="17">
        <f t="shared" si="7"/>
        <v>0</v>
      </c>
      <c r="AA91" s="17">
        <f t="shared" si="9"/>
        <v>0</v>
      </c>
      <c r="AB91" s="33"/>
      <c r="AC91" s="33">
        <f t="shared" si="10"/>
        <v>0</v>
      </c>
    </row>
    <row r="92" spans="1:29">
      <c r="A92" s="12" t="s">
        <v>423</v>
      </c>
      <c r="B92" s="12"/>
      <c r="C92" s="12" t="s">
        <v>18</v>
      </c>
      <c r="D92" s="30"/>
      <c r="E92" s="17">
        <f t="shared" si="6"/>
        <v>0</v>
      </c>
      <c r="K92" s="17">
        <f>+Q92-M92-O92</f>
        <v>0</v>
      </c>
      <c r="U92" s="17">
        <f>Y92-W92-S92</f>
        <v>0</v>
      </c>
      <c r="AA92" s="17">
        <f t="shared" si="9"/>
        <v>0</v>
      </c>
      <c r="AB92" s="33"/>
      <c r="AC92" s="33">
        <f t="shared" si="10"/>
        <v>0</v>
      </c>
    </row>
    <row r="93" spans="1:29">
      <c r="A93" s="5" t="s">
        <v>393</v>
      </c>
      <c r="B93" s="6"/>
      <c r="C93" s="6" t="s">
        <v>40</v>
      </c>
      <c r="D93" s="30"/>
      <c r="E93" s="17">
        <f t="shared" si="6"/>
        <v>0</v>
      </c>
      <c r="K93" s="17">
        <f>+Q93-M93-O93</f>
        <v>0</v>
      </c>
      <c r="U93" s="17">
        <f>Y93-W93-S93</f>
        <v>0</v>
      </c>
      <c r="AA93" s="17">
        <f t="shared" si="9"/>
        <v>0</v>
      </c>
      <c r="AB93" s="33"/>
      <c r="AC93" s="33">
        <f t="shared" si="10"/>
        <v>0</v>
      </c>
    </row>
    <row r="94" spans="1:29">
      <c r="A94" s="12" t="s">
        <v>16</v>
      </c>
      <c r="B94" s="12"/>
      <c r="C94" s="12" t="s">
        <v>17</v>
      </c>
      <c r="D94" s="30"/>
      <c r="E94" s="17">
        <f t="shared" si="6"/>
        <v>0</v>
      </c>
      <c r="K94" s="17">
        <f t="shared" si="8"/>
        <v>0</v>
      </c>
      <c r="U94" s="17">
        <f t="shared" si="7"/>
        <v>0</v>
      </c>
      <c r="AA94" s="17">
        <f t="shared" si="9"/>
        <v>0</v>
      </c>
      <c r="AB94" s="33"/>
      <c r="AC94" s="33">
        <f t="shared" si="10"/>
        <v>0</v>
      </c>
    </row>
    <row r="95" spans="1:29">
      <c r="A95" s="1" t="s">
        <v>507</v>
      </c>
      <c r="B95" s="1"/>
      <c r="C95" s="1" t="s">
        <v>137</v>
      </c>
      <c r="D95" s="30"/>
      <c r="E95" s="17">
        <f t="shared" si="6"/>
        <v>0</v>
      </c>
      <c r="K95" s="17">
        <f t="shared" si="8"/>
        <v>0</v>
      </c>
      <c r="U95" s="17">
        <f t="shared" si="7"/>
        <v>0</v>
      </c>
      <c r="AA95" s="17">
        <f t="shared" si="9"/>
        <v>0</v>
      </c>
      <c r="AB95" s="33"/>
      <c r="AC95" s="33">
        <f t="shared" si="10"/>
        <v>0</v>
      </c>
    </row>
    <row r="96" spans="1:29">
      <c r="A96" s="1" t="s">
        <v>361</v>
      </c>
      <c r="B96" s="1"/>
      <c r="C96" s="1" t="s">
        <v>51</v>
      </c>
      <c r="D96" s="30"/>
      <c r="E96" s="17">
        <f t="shared" si="6"/>
        <v>0</v>
      </c>
      <c r="K96" s="17">
        <f t="shared" si="8"/>
        <v>0</v>
      </c>
      <c r="U96" s="17">
        <f t="shared" si="7"/>
        <v>0</v>
      </c>
      <c r="AA96" s="17">
        <f t="shared" si="9"/>
        <v>0</v>
      </c>
      <c r="AB96" s="33"/>
      <c r="AC96" s="33">
        <f t="shared" si="10"/>
        <v>0</v>
      </c>
    </row>
    <row r="97" spans="1:29">
      <c r="A97" s="1" t="s">
        <v>363</v>
      </c>
      <c r="B97" s="1"/>
      <c r="C97" s="1" t="s">
        <v>52</v>
      </c>
      <c r="D97" s="30"/>
      <c r="E97" s="17">
        <f t="shared" si="6"/>
        <v>0</v>
      </c>
      <c r="K97" s="17">
        <f t="shared" si="8"/>
        <v>0</v>
      </c>
      <c r="U97" s="17">
        <f t="shared" si="7"/>
        <v>0</v>
      </c>
      <c r="AA97" s="17">
        <f t="shared" si="9"/>
        <v>0</v>
      </c>
      <c r="AB97" s="33"/>
      <c r="AC97" s="33">
        <f t="shared" si="10"/>
        <v>0</v>
      </c>
    </row>
    <row r="98" spans="1:29">
      <c r="A98" s="1" t="s">
        <v>364</v>
      </c>
      <c r="B98" s="1"/>
      <c r="C98" s="1" t="s">
        <v>50</v>
      </c>
      <c r="D98" s="30"/>
      <c r="E98" s="17">
        <f t="shared" ref="E98:E134" si="11">+I98-G98</f>
        <v>0</v>
      </c>
      <c r="K98" s="17">
        <f t="shared" si="8"/>
        <v>0</v>
      </c>
      <c r="U98" s="17">
        <f t="shared" si="7"/>
        <v>0</v>
      </c>
      <c r="AA98" s="17">
        <f t="shared" si="9"/>
        <v>0</v>
      </c>
      <c r="AB98" s="33"/>
      <c r="AC98" s="33">
        <f t="shared" si="10"/>
        <v>0</v>
      </c>
    </row>
    <row r="99" spans="1:29">
      <c r="A99" s="12" t="s">
        <v>144</v>
      </c>
      <c r="B99" s="12"/>
      <c r="C99" s="12" t="s">
        <v>15</v>
      </c>
      <c r="D99" s="30"/>
      <c r="E99" s="17">
        <f t="shared" si="11"/>
        <v>0</v>
      </c>
      <c r="K99" s="17">
        <f t="shared" si="8"/>
        <v>0</v>
      </c>
      <c r="U99" s="17">
        <f t="shared" si="7"/>
        <v>0</v>
      </c>
      <c r="AA99" s="17">
        <f t="shared" si="9"/>
        <v>0</v>
      </c>
      <c r="AB99" s="33"/>
      <c r="AC99" s="33">
        <f t="shared" si="10"/>
        <v>0</v>
      </c>
    </row>
    <row r="100" spans="1:29">
      <c r="A100" s="5" t="s">
        <v>36</v>
      </c>
      <c r="B100" s="6"/>
      <c r="C100" s="6" t="s">
        <v>40</v>
      </c>
      <c r="D100" s="30"/>
      <c r="E100" s="17">
        <f t="shared" si="11"/>
        <v>0</v>
      </c>
      <c r="K100" s="17">
        <f>+Q100-M100-O100</f>
        <v>0</v>
      </c>
      <c r="U100" s="17">
        <f>Y100-W100-S100</f>
        <v>0</v>
      </c>
      <c r="AA100" s="17">
        <f t="shared" si="9"/>
        <v>0</v>
      </c>
      <c r="AB100" s="33"/>
      <c r="AC100" s="33">
        <f t="shared" si="10"/>
        <v>0</v>
      </c>
    </row>
    <row r="101" spans="1:29">
      <c r="A101" s="6" t="s">
        <v>270</v>
      </c>
      <c r="B101" s="6"/>
      <c r="C101" s="6" t="s">
        <v>63</v>
      </c>
      <c r="D101" s="30"/>
      <c r="E101" s="17">
        <f t="shared" si="11"/>
        <v>0</v>
      </c>
      <c r="K101" s="17">
        <f t="shared" si="8"/>
        <v>0</v>
      </c>
      <c r="U101" s="17">
        <f t="shared" si="7"/>
        <v>0</v>
      </c>
      <c r="AA101" s="17">
        <f t="shared" si="9"/>
        <v>0</v>
      </c>
      <c r="AB101" s="33"/>
      <c r="AC101" s="33">
        <f t="shared" si="10"/>
        <v>0</v>
      </c>
    </row>
    <row r="102" spans="1:29">
      <c r="A102" s="5" t="s">
        <v>37</v>
      </c>
      <c r="B102" s="6"/>
      <c r="C102" s="6" t="s">
        <v>13</v>
      </c>
      <c r="D102" s="30"/>
      <c r="E102" s="17">
        <f t="shared" si="11"/>
        <v>0</v>
      </c>
      <c r="K102" s="17">
        <f t="shared" si="8"/>
        <v>0</v>
      </c>
      <c r="U102" s="17">
        <f t="shared" si="7"/>
        <v>0</v>
      </c>
      <c r="AA102" s="17">
        <f t="shared" si="9"/>
        <v>0</v>
      </c>
      <c r="AB102" s="33"/>
      <c r="AC102" s="33">
        <f t="shared" si="10"/>
        <v>0</v>
      </c>
    </row>
    <row r="103" spans="1:29">
      <c r="A103" s="1" t="s">
        <v>365</v>
      </c>
      <c r="B103" s="1"/>
      <c r="C103" s="1" t="s">
        <v>53</v>
      </c>
      <c r="D103" s="30"/>
      <c r="E103" s="17">
        <f t="shared" si="11"/>
        <v>0</v>
      </c>
      <c r="K103" s="17">
        <f t="shared" si="8"/>
        <v>0</v>
      </c>
      <c r="U103" s="17">
        <f t="shared" si="7"/>
        <v>0</v>
      </c>
      <c r="AA103" s="17">
        <f t="shared" si="9"/>
        <v>0</v>
      </c>
      <c r="AB103" s="33"/>
      <c r="AC103" s="33">
        <f t="shared" si="10"/>
        <v>0</v>
      </c>
    </row>
    <row r="104" spans="1:29">
      <c r="A104" s="5" t="s">
        <v>394</v>
      </c>
      <c r="B104" s="6"/>
      <c r="C104" s="6" t="s">
        <v>67</v>
      </c>
      <c r="D104" s="34"/>
      <c r="E104" s="17">
        <f t="shared" si="11"/>
        <v>0</v>
      </c>
      <c r="K104" s="17">
        <f t="shared" si="8"/>
        <v>0</v>
      </c>
      <c r="U104" s="17">
        <f t="shared" si="7"/>
        <v>0</v>
      </c>
      <c r="AA104" s="17">
        <f t="shared" si="9"/>
        <v>0</v>
      </c>
      <c r="AB104" s="33"/>
      <c r="AC104" s="33">
        <f t="shared" si="10"/>
        <v>0</v>
      </c>
    </row>
    <row r="105" spans="1:29">
      <c r="A105" s="5" t="s">
        <v>395</v>
      </c>
      <c r="B105" s="6"/>
      <c r="C105" s="6" t="s">
        <v>68</v>
      </c>
      <c r="D105" s="30"/>
      <c r="E105" s="17">
        <f t="shared" si="11"/>
        <v>0</v>
      </c>
      <c r="K105" s="17">
        <f t="shared" si="8"/>
        <v>0</v>
      </c>
      <c r="U105" s="17">
        <f t="shared" si="7"/>
        <v>0</v>
      </c>
      <c r="AA105" s="17">
        <f t="shared" si="9"/>
        <v>0</v>
      </c>
      <c r="AB105" s="33"/>
      <c r="AC105" s="33">
        <f t="shared" si="10"/>
        <v>0</v>
      </c>
    </row>
    <row r="106" spans="1:29">
      <c r="A106" s="1" t="s">
        <v>371</v>
      </c>
      <c r="B106" s="1"/>
      <c r="C106" s="1" t="s">
        <v>55</v>
      </c>
      <c r="D106" s="30"/>
      <c r="E106" s="17">
        <f t="shared" si="11"/>
        <v>0</v>
      </c>
      <c r="K106" s="17">
        <f t="shared" si="8"/>
        <v>0</v>
      </c>
      <c r="U106" s="17">
        <f t="shared" si="7"/>
        <v>0</v>
      </c>
      <c r="AA106" s="17">
        <f t="shared" si="9"/>
        <v>0</v>
      </c>
      <c r="AB106" s="33"/>
      <c r="AC106" s="33">
        <f t="shared" si="10"/>
        <v>0</v>
      </c>
    </row>
    <row r="107" spans="1:29">
      <c r="A107" s="6" t="s">
        <v>278</v>
      </c>
      <c r="B107" s="6"/>
      <c r="C107" s="6" t="s">
        <v>53</v>
      </c>
      <c r="D107" s="30"/>
      <c r="E107" s="17">
        <f t="shared" si="11"/>
        <v>0</v>
      </c>
      <c r="K107" s="17">
        <f t="shared" si="8"/>
        <v>0</v>
      </c>
      <c r="U107" s="17">
        <f t="shared" si="7"/>
        <v>0</v>
      </c>
      <c r="AA107" s="17">
        <f t="shared" si="9"/>
        <v>0</v>
      </c>
      <c r="AB107" s="33"/>
      <c r="AC107" s="33">
        <f t="shared" si="10"/>
        <v>0</v>
      </c>
    </row>
    <row r="108" spans="1:29">
      <c r="A108" s="12" t="s">
        <v>149</v>
      </c>
      <c r="B108" s="12"/>
      <c r="C108" s="12" t="s">
        <v>150</v>
      </c>
      <c r="D108" s="30"/>
      <c r="E108" s="17">
        <f t="shared" si="11"/>
        <v>0</v>
      </c>
      <c r="K108" s="17">
        <f t="shared" si="8"/>
        <v>0</v>
      </c>
      <c r="U108" s="17">
        <f t="shared" si="7"/>
        <v>0</v>
      </c>
      <c r="AA108" s="17">
        <f t="shared" si="9"/>
        <v>0</v>
      </c>
      <c r="AB108" s="33"/>
      <c r="AC108" s="33">
        <f t="shared" si="10"/>
        <v>0</v>
      </c>
    </row>
    <row r="109" spans="1:29">
      <c r="A109" s="1" t="s">
        <v>34</v>
      </c>
      <c r="B109" s="1"/>
      <c r="C109" s="1" t="s">
        <v>55</v>
      </c>
      <c r="D109" s="30"/>
      <c r="E109" s="17">
        <f t="shared" si="11"/>
        <v>0</v>
      </c>
      <c r="K109" s="17">
        <f t="shared" si="8"/>
        <v>0</v>
      </c>
      <c r="U109" s="17">
        <f t="shared" si="7"/>
        <v>0</v>
      </c>
      <c r="AA109" s="17">
        <f t="shared" si="9"/>
        <v>0</v>
      </c>
      <c r="AB109" s="33"/>
      <c r="AC109" s="33">
        <f t="shared" si="10"/>
        <v>0</v>
      </c>
    </row>
    <row r="110" spans="1:29">
      <c r="A110" s="1" t="s">
        <v>508</v>
      </c>
      <c r="B110" s="1"/>
      <c r="C110" s="1" t="s">
        <v>56</v>
      </c>
      <c r="D110" s="30"/>
      <c r="E110" s="17">
        <f t="shared" si="11"/>
        <v>0</v>
      </c>
      <c r="K110" s="17">
        <f t="shared" si="8"/>
        <v>0</v>
      </c>
      <c r="U110" s="17">
        <f t="shared" si="7"/>
        <v>0</v>
      </c>
      <c r="AA110" s="17">
        <f t="shared" si="9"/>
        <v>0</v>
      </c>
      <c r="AB110" s="33"/>
      <c r="AC110" s="33">
        <f t="shared" si="10"/>
        <v>0</v>
      </c>
    </row>
    <row r="111" spans="1:29">
      <c r="A111" s="1" t="s">
        <v>162</v>
      </c>
      <c r="B111" s="1"/>
      <c r="C111" s="1" t="s">
        <v>54</v>
      </c>
      <c r="D111" s="34"/>
      <c r="E111" s="17">
        <f t="shared" si="11"/>
        <v>0</v>
      </c>
      <c r="K111" s="17">
        <f t="shared" si="8"/>
        <v>0</v>
      </c>
      <c r="U111" s="17">
        <f t="shared" si="7"/>
        <v>0</v>
      </c>
      <c r="AA111" s="17">
        <f t="shared" si="9"/>
        <v>0</v>
      </c>
      <c r="AB111" s="33"/>
      <c r="AC111" s="33">
        <f t="shared" si="10"/>
        <v>0</v>
      </c>
    </row>
    <row r="112" spans="1:29">
      <c r="A112" s="1" t="s">
        <v>633</v>
      </c>
      <c r="B112" s="1"/>
      <c r="C112" s="1" t="s">
        <v>20</v>
      </c>
      <c r="D112" s="34"/>
      <c r="E112" s="17">
        <f t="shared" si="11"/>
        <v>1631856.6399999999</v>
      </c>
      <c r="I112" s="17">
        <v>1631856.6399999999</v>
      </c>
      <c r="K112" s="17">
        <f t="shared" si="8"/>
        <v>0</v>
      </c>
      <c r="U112" s="17">
        <f t="shared" si="7"/>
        <v>390277.48</v>
      </c>
      <c r="W112" s="17">
        <v>2250501.2200000002</v>
      </c>
      <c r="Y112" s="17">
        <v>2640778.7000000002</v>
      </c>
      <c r="AA112" s="17">
        <f t="shared" si="9"/>
        <v>0</v>
      </c>
      <c r="AB112" s="33"/>
      <c r="AC112" s="33">
        <f t="shared" si="10"/>
        <v>0</v>
      </c>
    </row>
    <row r="113" spans="1:29">
      <c r="A113" s="1" t="s">
        <v>370</v>
      </c>
      <c r="B113" s="1"/>
      <c r="C113" s="1" t="s">
        <v>168</v>
      </c>
      <c r="D113" s="30"/>
      <c r="E113" s="17">
        <f t="shared" si="11"/>
        <v>0</v>
      </c>
      <c r="K113" s="17">
        <f t="shared" si="8"/>
        <v>0</v>
      </c>
      <c r="U113" s="17">
        <f t="shared" si="7"/>
        <v>0</v>
      </c>
      <c r="AA113" s="17">
        <f t="shared" si="9"/>
        <v>0</v>
      </c>
      <c r="AB113" s="33"/>
      <c r="AC113" s="33">
        <f t="shared" si="10"/>
        <v>0</v>
      </c>
    </row>
    <row r="114" spans="1:29">
      <c r="A114" s="1" t="s">
        <v>367</v>
      </c>
      <c r="B114" s="1"/>
      <c r="C114" s="1" t="s">
        <v>57</v>
      </c>
      <c r="D114" s="30"/>
      <c r="E114" s="17">
        <f t="shared" si="11"/>
        <v>0</v>
      </c>
      <c r="K114" s="17">
        <f t="shared" si="8"/>
        <v>0</v>
      </c>
      <c r="U114" s="17">
        <f t="shared" si="7"/>
        <v>0</v>
      </c>
      <c r="AA114" s="17">
        <f t="shared" si="9"/>
        <v>0</v>
      </c>
      <c r="AB114" s="33"/>
      <c r="AC114" s="33">
        <f t="shared" si="10"/>
        <v>0</v>
      </c>
    </row>
    <row r="115" spans="1:29">
      <c r="A115" s="5" t="s">
        <v>431</v>
      </c>
      <c r="B115" s="6"/>
      <c r="C115" s="6" t="s">
        <v>17</v>
      </c>
      <c r="D115" s="30"/>
      <c r="E115" s="17">
        <f t="shared" si="11"/>
        <v>6239927</v>
      </c>
      <c r="I115" s="17">
        <v>6239927</v>
      </c>
      <c r="K115" s="17">
        <f t="shared" si="8"/>
        <v>0</v>
      </c>
      <c r="U115" s="17">
        <f t="shared" si="7"/>
        <v>840300</v>
      </c>
      <c r="W115" s="17">
        <v>5399627</v>
      </c>
      <c r="Y115" s="17">
        <v>6239927</v>
      </c>
      <c r="AA115" s="17">
        <f t="shared" si="9"/>
        <v>0</v>
      </c>
      <c r="AB115" s="33"/>
      <c r="AC115" s="33">
        <f t="shared" si="10"/>
        <v>0</v>
      </c>
    </row>
    <row r="116" spans="1:29">
      <c r="A116" s="5" t="s">
        <v>7</v>
      </c>
      <c r="B116" s="6"/>
      <c r="C116" s="6" t="s">
        <v>8</v>
      </c>
      <c r="D116" s="30"/>
      <c r="E116" s="17">
        <f t="shared" si="11"/>
        <v>14715177</v>
      </c>
      <c r="I116" s="17">
        <v>14715177</v>
      </c>
      <c r="K116" s="17">
        <f t="shared" si="8"/>
        <v>0</v>
      </c>
      <c r="U116" s="17">
        <f t="shared" si="7"/>
        <v>11088042</v>
      </c>
      <c r="W116" s="17">
        <v>3627135</v>
      </c>
      <c r="Y116" s="17">
        <v>14715177</v>
      </c>
      <c r="AA116" s="17">
        <f t="shared" si="9"/>
        <v>0</v>
      </c>
      <c r="AB116" s="33"/>
      <c r="AC116" s="33">
        <f t="shared" si="10"/>
        <v>0</v>
      </c>
    </row>
    <row r="117" spans="1:29">
      <c r="A117" s="1" t="s">
        <v>368</v>
      </c>
      <c r="B117" s="1"/>
      <c r="C117" s="1" t="s">
        <v>52</v>
      </c>
      <c r="D117" s="30"/>
      <c r="E117" s="17">
        <f t="shared" si="11"/>
        <v>0</v>
      </c>
      <c r="K117" s="17">
        <f t="shared" si="8"/>
        <v>0</v>
      </c>
      <c r="U117" s="17">
        <f t="shared" si="7"/>
        <v>0</v>
      </c>
      <c r="AA117" s="17">
        <f t="shared" si="9"/>
        <v>0</v>
      </c>
      <c r="AB117" s="33"/>
      <c r="AC117" s="33">
        <f t="shared" si="10"/>
        <v>0</v>
      </c>
    </row>
    <row r="118" spans="1:29">
      <c r="A118" s="1" t="s">
        <v>509</v>
      </c>
      <c r="B118" s="1"/>
      <c r="C118" s="1" t="s">
        <v>49</v>
      </c>
      <c r="D118" s="30"/>
      <c r="E118" s="17">
        <f t="shared" si="11"/>
        <v>0</v>
      </c>
      <c r="K118" s="17">
        <f t="shared" si="8"/>
        <v>0</v>
      </c>
      <c r="U118" s="17">
        <f t="shared" si="7"/>
        <v>0</v>
      </c>
      <c r="AA118" s="17">
        <f t="shared" si="9"/>
        <v>0</v>
      </c>
      <c r="AB118" s="33"/>
      <c r="AC118" s="33">
        <f t="shared" si="10"/>
        <v>0</v>
      </c>
    </row>
    <row r="119" spans="1:29">
      <c r="A119" s="12" t="s">
        <v>9</v>
      </c>
      <c r="B119" s="12"/>
      <c r="C119" s="12" t="s">
        <v>10</v>
      </c>
      <c r="D119" s="30"/>
      <c r="E119" s="17">
        <f t="shared" si="11"/>
        <v>0</v>
      </c>
      <c r="K119" s="17">
        <f t="shared" si="8"/>
        <v>0</v>
      </c>
      <c r="U119" s="17">
        <f t="shared" si="7"/>
        <v>0</v>
      </c>
      <c r="AA119" s="17">
        <f t="shared" si="9"/>
        <v>0</v>
      </c>
      <c r="AB119" s="33"/>
      <c r="AC119" s="33">
        <f t="shared" si="10"/>
        <v>0</v>
      </c>
    </row>
    <row r="120" spans="1:29">
      <c r="A120" s="12" t="s">
        <v>180</v>
      </c>
      <c r="B120" s="12"/>
      <c r="C120" s="12" t="s">
        <v>55</v>
      </c>
      <c r="D120" s="30"/>
      <c r="E120" s="17">
        <f t="shared" si="11"/>
        <v>8304543</v>
      </c>
      <c r="I120" s="17">
        <v>8304543</v>
      </c>
      <c r="K120" s="17">
        <f t="shared" si="8"/>
        <v>0</v>
      </c>
      <c r="U120" s="17">
        <f t="shared" si="7"/>
        <v>771618</v>
      </c>
      <c r="W120" s="17">
        <v>7532925</v>
      </c>
      <c r="Y120" s="17">
        <v>8304543</v>
      </c>
      <c r="AA120" s="17">
        <f t="shared" si="9"/>
        <v>0</v>
      </c>
      <c r="AB120" s="33"/>
      <c r="AC120" s="33">
        <f t="shared" si="10"/>
        <v>0</v>
      </c>
    </row>
    <row r="121" spans="1:29">
      <c r="A121" s="12" t="s">
        <v>181</v>
      </c>
      <c r="B121" s="12"/>
      <c r="C121" s="12" t="s">
        <v>81</v>
      </c>
      <c r="D121" s="30"/>
      <c r="E121" s="17">
        <f t="shared" si="11"/>
        <v>464630</v>
      </c>
      <c r="I121" s="17">
        <v>464630</v>
      </c>
      <c r="K121" s="17">
        <f t="shared" si="8"/>
        <v>0</v>
      </c>
      <c r="U121" s="17">
        <f t="shared" si="7"/>
        <v>137059</v>
      </c>
      <c r="W121" s="17">
        <v>327571</v>
      </c>
      <c r="Y121" s="17">
        <v>464630</v>
      </c>
      <c r="AA121" s="17">
        <f t="shared" si="9"/>
        <v>0</v>
      </c>
      <c r="AB121" s="33"/>
      <c r="AC121" s="33">
        <f t="shared" si="10"/>
        <v>0</v>
      </c>
    </row>
    <row r="122" spans="1:29">
      <c r="A122" s="1" t="s">
        <v>513</v>
      </c>
      <c r="B122" s="1"/>
      <c r="C122" s="1" t="s">
        <v>23</v>
      </c>
      <c r="D122" s="30"/>
      <c r="E122" s="17">
        <f t="shared" si="11"/>
        <v>0</v>
      </c>
      <c r="K122" s="17">
        <f t="shared" si="8"/>
        <v>0</v>
      </c>
      <c r="U122" s="17">
        <f t="shared" si="7"/>
        <v>0</v>
      </c>
      <c r="AA122" s="17">
        <f t="shared" si="9"/>
        <v>0</v>
      </c>
      <c r="AB122" s="33"/>
      <c r="AC122" s="33">
        <f t="shared" si="10"/>
        <v>0</v>
      </c>
    </row>
    <row r="123" spans="1:29">
      <c r="A123" s="12" t="s">
        <v>432</v>
      </c>
      <c r="B123" s="12"/>
      <c r="C123" s="12" t="s">
        <v>11</v>
      </c>
      <c r="D123" s="30"/>
      <c r="E123" s="17">
        <f t="shared" si="11"/>
        <v>0</v>
      </c>
      <c r="K123" s="17">
        <f t="shared" si="8"/>
        <v>0</v>
      </c>
      <c r="U123" s="17">
        <f t="shared" si="7"/>
        <v>0</v>
      </c>
      <c r="AA123" s="17">
        <f t="shared" si="9"/>
        <v>0</v>
      </c>
      <c r="AB123" s="33"/>
      <c r="AC123" s="33">
        <f t="shared" si="10"/>
        <v>0</v>
      </c>
    </row>
    <row r="124" spans="1:29">
      <c r="A124" s="1" t="s">
        <v>432</v>
      </c>
      <c r="B124" s="1"/>
      <c r="C124" s="1" t="s">
        <v>11</v>
      </c>
      <c r="D124" s="30"/>
      <c r="E124" s="17">
        <f t="shared" si="11"/>
        <v>0</v>
      </c>
      <c r="K124" s="17">
        <f t="shared" si="8"/>
        <v>0</v>
      </c>
      <c r="U124" s="17">
        <f t="shared" si="7"/>
        <v>0</v>
      </c>
      <c r="AA124" s="17">
        <f t="shared" si="9"/>
        <v>0</v>
      </c>
      <c r="AB124" s="33"/>
      <c r="AC124" s="33">
        <f t="shared" si="10"/>
        <v>0</v>
      </c>
    </row>
    <row r="125" spans="1:29">
      <c r="A125" s="1" t="s">
        <v>382</v>
      </c>
      <c r="B125" s="1"/>
      <c r="C125" s="1" t="s">
        <v>183</v>
      </c>
      <c r="D125" s="30"/>
      <c r="E125" s="17">
        <f t="shared" si="11"/>
        <v>0</v>
      </c>
      <c r="K125" s="17">
        <f t="shared" si="8"/>
        <v>0</v>
      </c>
      <c r="U125" s="17">
        <f t="shared" si="7"/>
        <v>0</v>
      </c>
      <c r="AA125" s="17">
        <f t="shared" si="9"/>
        <v>0</v>
      </c>
      <c r="AB125" s="33"/>
      <c r="AC125" s="33">
        <f t="shared" si="10"/>
        <v>0</v>
      </c>
    </row>
    <row r="126" spans="1:29">
      <c r="A126" s="1" t="s">
        <v>372</v>
      </c>
      <c r="B126" s="1"/>
      <c r="C126" s="1" t="s">
        <v>52</v>
      </c>
      <c r="D126" s="30"/>
      <c r="E126" s="17">
        <f t="shared" si="11"/>
        <v>0</v>
      </c>
      <c r="K126" s="17">
        <f t="shared" si="8"/>
        <v>0</v>
      </c>
      <c r="U126" s="17">
        <f t="shared" si="7"/>
        <v>0</v>
      </c>
      <c r="AA126" s="17">
        <f t="shared" si="9"/>
        <v>0</v>
      </c>
      <c r="AB126" s="33"/>
      <c r="AC126" s="33">
        <f t="shared" si="10"/>
        <v>0</v>
      </c>
    </row>
    <row r="127" spans="1:29">
      <c r="A127" s="1" t="s">
        <v>374</v>
      </c>
      <c r="B127" s="1"/>
      <c r="C127" s="1" t="s">
        <v>52</v>
      </c>
      <c r="D127" s="30"/>
      <c r="E127" s="17">
        <f t="shared" si="11"/>
        <v>0</v>
      </c>
      <c r="K127" s="17">
        <f t="shared" si="8"/>
        <v>0</v>
      </c>
      <c r="U127" s="17">
        <f t="shared" si="7"/>
        <v>0</v>
      </c>
      <c r="AA127" s="17">
        <f t="shared" si="9"/>
        <v>0</v>
      </c>
      <c r="AB127" s="33"/>
      <c r="AC127" s="33">
        <f t="shared" si="10"/>
        <v>0</v>
      </c>
    </row>
    <row r="128" spans="1:29">
      <c r="A128" s="1" t="s">
        <v>193</v>
      </c>
      <c r="B128" s="1"/>
      <c r="C128" s="1" t="s">
        <v>23</v>
      </c>
      <c r="D128" s="30"/>
      <c r="E128" s="17">
        <f t="shared" si="11"/>
        <v>1381413</v>
      </c>
      <c r="I128" s="17">
        <v>1381413</v>
      </c>
      <c r="K128" s="17">
        <f t="shared" si="8"/>
        <v>0</v>
      </c>
      <c r="U128" s="17">
        <f t="shared" si="7"/>
        <v>419990</v>
      </c>
      <c r="W128" s="17">
        <v>961423</v>
      </c>
      <c r="Y128" s="17">
        <v>1381413</v>
      </c>
      <c r="AA128" s="17">
        <f t="shared" si="9"/>
        <v>0</v>
      </c>
      <c r="AB128" s="33"/>
      <c r="AC128" s="33">
        <f t="shared" si="10"/>
        <v>0</v>
      </c>
    </row>
    <row r="129" spans="1:29">
      <c r="A129" s="1" t="s">
        <v>375</v>
      </c>
      <c r="B129" s="1"/>
      <c r="C129" s="1" t="s">
        <v>60</v>
      </c>
      <c r="D129" s="30"/>
      <c r="E129" s="17">
        <f t="shared" si="11"/>
        <v>0</v>
      </c>
      <c r="K129" s="17">
        <f t="shared" si="8"/>
        <v>0</v>
      </c>
      <c r="U129" s="17">
        <f t="shared" si="7"/>
        <v>0</v>
      </c>
      <c r="AA129" s="17">
        <f t="shared" si="9"/>
        <v>0</v>
      </c>
      <c r="AB129" s="33"/>
      <c r="AC129" s="33">
        <f t="shared" si="10"/>
        <v>0</v>
      </c>
    </row>
    <row r="130" spans="1:29">
      <c r="A130" s="1" t="s">
        <v>591</v>
      </c>
      <c r="B130" s="1"/>
      <c r="C130" s="1" t="s">
        <v>18</v>
      </c>
      <c r="D130" s="30"/>
      <c r="E130" s="17">
        <f t="shared" si="11"/>
        <v>12258923</v>
      </c>
      <c r="I130" s="17">
        <v>12258923</v>
      </c>
      <c r="K130" s="17">
        <f t="shared" si="8"/>
        <v>0</v>
      </c>
      <c r="U130" s="17">
        <f t="shared" si="7"/>
        <v>5322977</v>
      </c>
      <c r="W130" s="17">
        <v>6935946</v>
      </c>
      <c r="Y130" s="17">
        <v>12258923</v>
      </c>
      <c r="AA130" s="17">
        <f t="shared" si="9"/>
        <v>0</v>
      </c>
      <c r="AB130" s="33"/>
      <c r="AC130" s="33">
        <f t="shared" si="10"/>
        <v>0</v>
      </c>
    </row>
    <row r="131" spans="1:29">
      <c r="A131" s="12" t="s">
        <v>195</v>
      </c>
      <c r="B131" s="12"/>
      <c r="C131" s="12" t="s">
        <v>8</v>
      </c>
      <c r="D131" s="30"/>
      <c r="E131" s="17">
        <f t="shared" si="11"/>
        <v>7204733</v>
      </c>
      <c r="I131" s="17">
        <v>7204733</v>
      </c>
      <c r="K131" s="17">
        <f t="shared" si="8"/>
        <v>0</v>
      </c>
      <c r="U131" s="17">
        <f t="shared" si="7"/>
        <v>7204733</v>
      </c>
      <c r="Y131" s="17">
        <v>7204733</v>
      </c>
      <c r="Z131" s="33"/>
      <c r="AA131" s="17">
        <f t="shared" si="9"/>
        <v>0</v>
      </c>
      <c r="AB131" s="33"/>
      <c r="AC131" s="33">
        <f t="shared" si="10"/>
        <v>0</v>
      </c>
    </row>
    <row r="132" spans="1:29">
      <c r="A132" s="1" t="s">
        <v>376</v>
      </c>
      <c r="B132" s="1"/>
      <c r="C132" s="1" t="s">
        <v>23</v>
      </c>
      <c r="D132" s="30"/>
      <c r="E132" s="17">
        <f t="shared" si="11"/>
        <v>0</v>
      </c>
      <c r="K132" s="17">
        <f t="shared" si="8"/>
        <v>0</v>
      </c>
      <c r="U132" s="17">
        <f t="shared" si="7"/>
        <v>0</v>
      </c>
      <c r="AA132" s="17">
        <f t="shared" si="9"/>
        <v>0</v>
      </c>
      <c r="AB132" s="33"/>
      <c r="AC132" s="33">
        <f t="shared" si="10"/>
        <v>0</v>
      </c>
    </row>
    <row r="133" spans="1:29">
      <c r="A133" s="1" t="s">
        <v>511</v>
      </c>
      <c r="B133" s="1"/>
      <c r="C133" s="1" t="s">
        <v>62</v>
      </c>
      <c r="D133" s="30"/>
      <c r="E133" s="17">
        <f t="shared" si="11"/>
        <v>0</v>
      </c>
      <c r="K133" s="17">
        <f>+Q133-M133-O133</f>
        <v>0</v>
      </c>
      <c r="U133" s="17">
        <f>Y133-W133-S133</f>
        <v>0</v>
      </c>
      <c r="AA133" s="17">
        <f t="shared" si="9"/>
        <v>0</v>
      </c>
      <c r="AB133" s="33"/>
      <c r="AC133" s="33">
        <f t="shared" si="10"/>
        <v>0</v>
      </c>
    </row>
    <row r="134" spans="1:29">
      <c r="A134" s="12" t="s">
        <v>425</v>
      </c>
      <c r="B134" s="12"/>
      <c r="C134" s="12" t="s">
        <v>14</v>
      </c>
      <c r="D134" s="30"/>
      <c r="E134" s="17">
        <f t="shared" si="11"/>
        <v>0</v>
      </c>
      <c r="K134" s="17">
        <f>+Q134-M134-O134</f>
        <v>0</v>
      </c>
      <c r="U134" s="17">
        <f>Y134-W134-S134</f>
        <v>0</v>
      </c>
      <c r="AA134" s="17">
        <f t="shared" si="9"/>
        <v>0</v>
      </c>
      <c r="AB134" s="33"/>
      <c r="AC134" s="33">
        <f t="shared" si="10"/>
        <v>0</v>
      </c>
    </row>
    <row r="135" spans="1:29">
      <c r="A135" s="6" t="s">
        <v>206</v>
      </c>
      <c r="B135" s="6"/>
      <c r="C135" s="6" t="s">
        <v>207</v>
      </c>
      <c r="D135" s="30"/>
      <c r="E135" s="17">
        <f t="shared" ref="E135:E167" si="12">+I135-G135</f>
        <v>5251856</v>
      </c>
      <c r="I135" s="17">
        <v>5251856</v>
      </c>
      <c r="K135" s="17">
        <f t="shared" ref="K135:K201" si="13">+Q135-M135-O135</f>
        <v>0</v>
      </c>
      <c r="U135" s="17">
        <f t="shared" ref="U135:U201" si="14">Y135-W135-S135</f>
        <v>3302748</v>
      </c>
      <c r="W135" s="17">
        <v>1949108</v>
      </c>
      <c r="Y135" s="17">
        <v>5251856</v>
      </c>
      <c r="AA135" s="17">
        <f t="shared" si="9"/>
        <v>0</v>
      </c>
      <c r="AB135" s="33"/>
      <c r="AC135" s="33">
        <f t="shared" si="10"/>
        <v>0</v>
      </c>
    </row>
    <row r="136" spans="1:29">
      <c r="A136" s="1" t="s">
        <v>378</v>
      </c>
      <c r="B136" s="1"/>
      <c r="C136" s="1" t="s">
        <v>63</v>
      </c>
      <c r="D136" s="30"/>
      <c r="E136" s="17">
        <f t="shared" si="12"/>
        <v>0</v>
      </c>
      <c r="K136" s="17">
        <f t="shared" si="13"/>
        <v>0</v>
      </c>
      <c r="U136" s="17">
        <f t="shared" si="14"/>
        <v>0</v>
      </c>
      <c r="AA136" s="17">
        <f t="shared" si="9"/>
        <v>0</v>
      </c>
      <c r="AB136" s="33"/>
      <c r="AC136" s="33">
        <f t="shared" si="10"/>
        <v>0</v>
      </c>
    </row>
    <row r="137" spans="1:29">
      <c r="A137" s="5" t="s">
        <v>216</v>
      </c>
      <c r="B137" s="6"/>
      <c r="C137" s="6" t="s">
        <v>23</v>
      </c>
      <c r="D137" s="30"/>
      <c r="E137" s="17">
        <f t="shared" si="12"/>
        <v>1243145</v>
      </c>
      <c r="I137" s="17">
        <v>1243145</v>
      </c>
      <c r="K137" s="17">
        <v>0</v>
      </c>
      <c r="U137" s="17">
        <f t="shared" si="14"/>
        <v>380985</v>
      </c>
      <c r="W137" s="17">
        <v>862160</v>
      </c>
      <c r="Y137" s="17">
        <v>1243145</v>
      </c>
      <c r="AA137" s="17">
        <f t="shared" si="9"/>
        <v>0</v>
      </c>
      <c r="AB137" s="33"/>
      <c r="AC137" s="33">
        <f t="shared" si="10"/>
        <v>0</v>
      </c>
    </row>
    <row r="138" spans="1:29">
      <c r="A138" s="5" t="s">
        <v>222</v>
      </c>
      <c r="B138" s="6"/>
      <c r="C138" s="6" t="s">
        <v>223</v>
      </c>
      <c r="D138" s="30"/>
      <c r="E138" s="17">
        <f t="shared" si="12"/>
        <v>647079</v>
      </c>
      <c r="I138" s="17">
        <v>647079</v>
      </c>
      <c r="K138" s="17">
        <v>0</v>
      </c>
      <c r="U138" s="17">
        <f t="shared" si="14"/>
        <v>382282</v>
      </c>
      <c r="W138" s="17">
        <v>381182</v>
      </c>
      <c r="Y138" s="17">
        <v>763464</v>
      </c>
      <c r="AA138" s="17">
        <f>+H138-P138-X138</f>
        <v>0</v>
      </c>
      <c r="AB138" s="33"/>
      <c r="AC138" s="33">
        <f>+D138+F138+-J138-L138-R138-T138-V138-N138</f>
        <v>0</v>
      </c>
    </row>
    <row r="139" spans="1:29">
      <c r="A139" s="1" t="s">
        <v>379</v>
      </c>
      <c r="B139" s="1"/>
      <c r="C139" s="1" t="s">
        <v>20</v>
      </c>
      <c r="E139" s="17">
        <f t="shared" si="12"/>
        <v>0</v>
      </c>
      <c r="K139" s="17">
        <v>0</v>
      </c>
      <c r="U139" s="17">
        <f t="shared" si="14"/>
        <v>0</v>
      </c>
      <c r="AA139" s="17">
        <f t="shared" si="9"/>
        <v>0</v>
      </c>
      <c r="AB139" s="33"/>
      <c r="AC139" s="33">
        <f t="shared" si="10"/>
        <v>0</v>
      </c>
    </row>
    <row r="140" spans="1:29" s="33" customFormat="1">
      <c r="A140" s="1" t="s">
        <v>512</v>
      </c>
      <c r="B140" s="1"/>
      <c r="C140" s="1" t="s">
        <v>64</v>
      </c>
      <c r="D140" s="17"/>
      <c r="E140" s="17">
        <f t="shared" si="12"/>
        <v>0</v>
      </c>
      <c r="F140" s="17"/>
      <c r="G140" s="17"/>
      <c r="H140" s="17"/>
      <c r="I140" s="17"/>
      <c r="K140" s="33">
        <f>+Q140-M140-O140</f>
        <v>0</v>
      </c>
      <c r="U140" s="33">
        <f>Y140-W140-S140</f>
        <v>0</v>
      </c>
      <c r="AA140" s="17">
        <f t="shared" si="9"/>
        <v>0</v>
      </c>
      <c r="AC140" s="33">
        <f t="shared" si="10"/>
        <v>0</v>
      </c>
    </row>
    <row r="141" spans="1:29">
      <c r="A141" s="5" t="s">
        <v>437</v>
      </c>
      <c r="B141" s="6"/>
      <c r="C141" s="6" t="s">
        <v>234</v>
      </c>
      <c r="D141" s="31"/>
      <c r="E141" s="17">
        <f t="shared" si="12"/>
        <v>11844747</v>
      </c>
      <c r="F141" s="33"/>
      <c r="G141" s="33"/>
      <c r="H141" s="33"/>
      <c r="I141" s="33">
        <v>11844747</v>
      </c>
      <c r="K141" s="17">
        <f>+Q141-M141-O141</f>
        <v>0</v>
      </c>
      <c r="U141" s="17">
        <f>Y141-W141-S141</f>
        <v>992275</v>
      </c>
      <c r="W141" s="17">
        <v>10852472</v>
      </c>
      <c r="Y141" s="17">
        <v>11844747</v>
      </c>
      <c r="AA141" s="17">
        <f t="shared" si="9"/>
        <v>0</v>
      </c>
      <c r="AB141" s="33"/>
      <c r="AC141" s="33">
        <f t="shared" si="10"/>
        <v>0</v>
      </c>
    </row>
    <row r="142" spans="1:29">
      <c r="A142" s="1" t="s">
        <v>381</v>
      </c>
      <c r="B142" s="1"/>
      <c r="C142" s="1" t="s">
        <v>10</v>
      </c>
      <c r="D142" s="30"/>
      <c r="E142" s="17">
        <f t="shared" si="12"/>
        <v>0</v>
      </c>
      <c r="K142" s="17">
        <f t="shared" si="13"/>
        <v>0</v>
      </c>
      <c r="U142" s="17">
        <f t="shared" si="14"/>
        <v>0</v>
      </c>
      <c r="AA142" s="17">
        <f t="shared" si="9"/>
        <v>0</v>
      </c>
      <c r="AB142" s="33"/>
      <c r="AC142" s="33">
        <f t="shared" si="10"/>
        <v>0</v>
      </c>
    </row>
    <row r="143" spans="1:29">
      <c r="A143" s="1" t="s">
        <v>21</v>
      </c>
      <c r="B143" s="1"/>
      <c r="C143" s="1" t="s">
        <v>22</v>
      </c>
      <c r="D143" s="30"/>
      <c r="E143" s="17">
        <f t="shared" si="12"/>
        <v>1866567</v>
      </c>
      <c r="I143" s="17">
        <v>1866567</v>
      </c>
      <c r="K143" s="17">
        <f t="shared" si="13"/>
        <v>0</v>
      </c>
      <c r="U143" s="17">
        <f t="shared" si="14"/>
        <v>496600</v>
      </c>
      <c r="W143" s="17">
        <v>1369967</v>
      </c>
      <c r="Y143" s="17">
        <v>1866567</v>
      </c>
      <c r="AA143" s="17">
        <f t="shared" si="9"/>
        <v>0</v>
      </c>
      <c r="AB143" s="33"/>
      <c r="AC143" s="33">
        <f t="shared" si="10"/>
        <v>0</v>
      </c>
    </row>
    <row r="144" spans="1:29">
      <c r="A144" s="12" t="s">
        <v>540</v>
      </c>
      <c r="B144" s="12"/>
      <c r="C144" s="12" t="s">
        <v>439</v>
      </c>
      <c r="D144" s="30"/>
      <c r="E144" s="17">
        <f t="shared" si="12"/>
        <v>65257101</v>
      </c>
      <c r="G144" s="17">
        <f>14439577+17614531+1153978+54275058</f>
        <v>87483144</v>
      </c>
      <c r="I144" s="17">
        <v>152740245</v>
      </c>
      <c r="K144" s="17">
        <f t="shared" si="13"/>
        <v>19676616</v>
      </c>
      <c r="M144" s="17">
        <v>1614247</v>
      </c>
      <c r="O144" s="17">
        <v>2598643</v>
      </c>
      <c r="Q144" s="17">
        <v>23889506</v>
      </c>
      <c r="S144" s="17">
        <v>87483144</v>
      </c>
      <c r="U144" s="17">
        <f t="shared" si="14"/>
        <v>8765055</v>
      </c>
      <c r="W144" s="17">
        <v>32602540</v>
      </c>
      <c r="Y144" s="17">
        <v>128850739</v>
      </c>
      <c r="AA144" s="17">
        <f t="shared" si="9"/>
        <v>0</v>
      </c>
      <c r="AB144" s="33"/>
      <c r="AC144" s="33">
        <f t="shared" si="10"/>
        <v>0</v>
      </c>
    </row>
    <row r="145" spans="1:29">
      <c r="A145" s="1" t="s">
        <v>384</v>
      </c>
      <c r="B145" s="1"/>
      <c r="C145" s="1" t="s">
        <v>44</v>
      </c>
      <c r="D145" s="30"/>
      <c r="E145" s="17">
        <f t="shared" si="12"/>
        <v>0</v>
      </c>
      <c r="K145" s="17">
        <f t="shared" si="13"/>
        <v>0</v>
      </c>
      <c r="U145" s="17">
        <f t="shared" si="14"/>
        <v>0</v>
      </c>
      <c r="AA145" s="17">
        <f t="shared" si="9"/>
        <v>0</v>
      </c>
      <c r="AB145" s="33"/>
      <c r="AC145" s="33">
        <f t="shared" si="10"/>
        <v>0</v>
      </c>
    </row>
    <row r="146" spans="1:29">
      <c r="A146" s="1" t="s">
        <v>385</v>
      </c>
      <c r="B146" s="1"/>
      <c r="C146" s="1" t="s">
        <v>59</v>
      </c>
      <c r="D146" s="30"/>
      <c r="E146" s="17">
        <f t="shared" si="12"/>
        <v>0</v>
      </c>
      <c r="K146" s="17">
        <f t="shared" si="13"/>
        <v>0</v>
      </c>
      <c r="U146" s="17">
        <f t="shared" si="14"/>
        <v>0</v>
      </c>
      <c r="AA146" s="17">
        <f t="shared" si="9"/>
        <v>0</v>
      </c>
      <c r="AB146" s="33"/>
      <c r="AC146" s="33">
        <f t="shared" si="10"/>
        <v>0</v>
      </c>
    </row>
    <row r="147" spans="1:29">
      <c r="A147" s="1" t="s">
        <v>240</v>
      </c>
      <c r="B147" s="1"/>
      <c r="C147" s="1" t="s">
        <v>165</v>
      </c>
      <c r="D147" s="30"/>
      <c r="E147" s="17">
        <f t="shared" si="12"/>
        <v>0</v>
      </c>
      <c r="K147" s="17">
        <f t="shared" si="13"/>
        <v>0</v>
      </c>
      <c r="U147" s="17">
        <f t="shared" si="14"/>
        <v>0</v>
      </c>
      <c r="AA147" s="17">
        <f t="shared" si="9"/>
        <v>0</v>
      </c>
      <c r="AB147" s="33"/>
      <c r="AC147" s="33">
        <f t="shared" si="10"/>
        <v>0</v>
      </c>
    </row>
    <row r="148" spans="1:29">
      <c r="A148" s="2" t="s">
        <v>510</v>
      </c>
      <c r="B148" s="2"/>
      <c r="C148" s="2" t="s">
        <v>48</v>
      </c>
      <c r="D148" s="34"/>
      <c r="E148" s="17">
        <f t="shared" si="12"/>
        <v>0</v>
      </c>
      <c r="K148" s="17">
        <f t="shared" si="13"/>
        <v>0</v>
      </c>
      <c r="U148" s="17">
        <f t="shared" si="14"/>
        <v>0</v>
      </c>
      <c r="AA148" s="17">
        <f t="shared" si="9"/>
        <v>0</v>
      </c>
      <c r="AB148" s="33"/>
      <c r="AC148" s="33">
        <f t="shared" si="10"/>
        <v>0</v>
      </c>
    </row>
    <row r="149" spans="1:29">
      <c r="A149" s="1" t="s">
        <v>514</v>
      </c>
      <c r="B149" s="1"/>
      <c r="C149" s="1" t="s">
        <v>60</v>
      </c>
      <c r="D149" s="34"/>
      <c r="E149" s="17">
        <f t="shared" si="12"/>
        <v>0</v>
      </c>
      <c r="K149" s="17">
        <f t="shared" si="13"/>
        <v>0</v>
      </c>
      <c r="U149" s="17">
        <f t="shared" si="14"/>
        <v>0</v>
      </c>
      <c r="AA149" s="17">
        <f t="shared" si="9"/>
        <v>0</v>
      </c>
      <c r="AB149" s="33"/>
      <c r="AC149" s="33">
        <f t="shared" si="10"/>
        <v>0</v>
      </c>
    </row>
    <row r="150" spans="1:29">
      <c r="A150" s="1" t="s">
        <v>389</v>
      </c>
      <c r="B150" s="1"/>
      <c r="C150" s="1" t="s">
        <v>66</v>
      </c>
      <c r="D150" s="34"/>
      <c r="E150" s="17">
        <f t="shared" si="12"/>
        <v>0</v>
      </c>
      <c r="K150" s="17">
        <f t="shared" si="13"/>
        <v>0</v>
      </c>
      <c r="U150" s="17">
        <f t="shared" si="14"/>
        <v>0</v>
      </c>
      <c r="AA150" s="17">
        <f t="shared" si="9"/>
        <v>0</v>
      </c>
      <c r="AB150" s="33"/>
      <c r="AC150" s="33">
        <f t="shared" si="10"/>
        <v>0</v>
      </c>
    </row>
    <row r="151" spans="1:29">
      <c r="A151" s="1" t="s">
        <v>541</v>
      </c>
      <c r="B151" s="1"/>
      <c r="C151" s="1" t="s">
        <v>42</v>
      </c>
      <c r="D151" s="34"/>
      <c r="E151" s="17">
        <f t="shared" si="12"/>
        <v>0</v>
      </c>
      <c r="K151" s="17">
        <f t="shared" si="13"/>
        <v>0</v>
      </c>
      <c r="U151" s="17">
        <f t="shared" si="14"/>
        <v>0</v>
      </c>
      <c r="AA151" s="17">
        <f t="shared" si="9"/>
        <v>0</v>
      </c>
      <c r="AB151" s="33"/>
      <c r="AC151" s="33">
        <f t="shared" si="10"/>
        <v>0</v>
      </c>
    </row>
    <row r="152" spans="1:29">
      <c r="A152" s="1" t="s">
        <v>392</v>
      </c>
      <c r="B152" s="1"/>
      <c r="C152" s="1" t="s">
        <v>11</v>
      </c>
      <c r="D152" s="34"/>
      <c r="E152" s="17">
        <f t="shared" si="12"/>
        <v>0</v>
      </c>
      <c r="K152" s="17">
        <f>+Q152-M152-O152</f>
        <v>0</v>
      </c>
      <c r="U152" s="17">
        <f>Y152-W152-S152</f>
        <v>0</v>
      </c>
      <c r="AA152" s="17">
        <f t="shared" si="9"/>
        <v>0</v>
      </c>
      <c r="AB152" s="33"/>
      <c r="AC152" s="33">
        <f t="shared" si="10"/>
        <v>0</v>
      </c>
    </row>
    <row r="153" spans="1:29">
      <c r="A153" s="5" t="s">
        <v>253</v>
      </c>
      <c r="B153" s="6"/>
      <c r="C153" s="6" t="s">
        <v>23</v>
      </c>
      <c r="D153" s="34"/>
      <c r="E153" s="17">
        <f t="shared" si="12"/>
        <v>3061771</v>
      </c>
      <c r="I153" s="17">
        <v>3061771</v>
      </c>
      <c r="K153" s="17">
        <f t="shared" si="13"/>
        <v>0</v>
      </c>
      <c r="U153" s="17">
        <f t="shared" si="14"/>
        <v>1591900</v>
      </c>
      <c r="W153" s="17">
        <v>1469871</v>
      </c>
      <c r="Y153" s="17">
        <v>3061771</v>
      </c>
      <c r="AA153" s="17">
        <f t="shared" si="9"/>
        <v>0</v>
      </c>
      <c r="AB153" s="33"/>
      <c r="AC153" s="33">
        <f t="shared" si="10"/>
        <v>0</v>
      </c>
    </row>
    <row r="154" spans="1:29">
      <c r="A154" s="12" t="s">
        <v>256</v>
      </c>
      <c r="B154" s="12"/>
      <c r="C154" s="12" t="s">
        <v>20</v>
      </c>
      <c r="D154" s="34"/>
      <c r="E154" s="17">
        <f t="shared" si="12"/>
        <v>1032687</v>
      </c>
      <c r="I154" s="17">
        <v>1032687</v>
      </c>
      <c r="K154" s="17">
        <f t="shared" si="13"/>
        <v>0</v>
      </c>
      <c r="U154" s="17">
        <f t="shared" si="14"/>
        <v>257587</v>
      </c>
      <c r="W154" s="17">
        <v>775100</v>
      </c>
      <c r="Y154" s="17">
        <v>1032687</v>
      </c>
      <c r="AA154" s="17">
        <f t="shared" si="9"/>
        <v>0</v>
      </c>
      <c r="AB154" s="33"/>
      <c r="AC154" s="33">
        <f t="shared" si="10"/>
        <v>0</v>
      </c>
    </row>
    <row r="155" spans="1:29">
      <c r="A155" s="12" t="s">
        <v>441</v>
      </c>
      <c r="B155" s="12"/>
      <c r="C155" s="12" t="s">
        <v>51</v>
      </c>
      <c r="D155" s="34"/>
      <c r="E155" s="17">
        <f t="shared" si="12"/>
        <v>569280</v>
      </c>
      <c r="I155" s="17">
        <v>569280</v>
      </c>
      <c r="K155" s="17">
        <f t="shared" si="13"/>
        <v>0</v>
      </c>
      <c r="U155" s="17">
        <f t="shared" si="14"/>
        <v>150455</v>
      </c>
      <c r="W155" s="17">
        <v>418825</v>
      </c>
      <c r="Y155" s="17">
        <v>569280</v>
      </c>
      <c r="AA155" s="17">
        <f t="shared" si="9"/>
        <v>0</v>
      </c>
      <c r="AB155" s="33"/>
      <c r="AC155" s="33">
        <f t="shared" si="10"/>
        <v>0</v>
      </c>
    </row>
    <row r="156" spans="1:29">
      <c r="A156" s="12" t="s">
        <v>261</v>
      </c>
      <c r="B156" s="12"/>
      <c r="C156" s="12" t="s">
        <v>316</v>
      </c>
      <c r="D156" s="34"/>
      <c r="E156" s="17">
        <f t="shared" si="12"/>
        <v>36903034</v>
      </c>
      <c r="G156" s="17">
        <f>9640795+66176839</f>
        <v>75817634</v>
      </c>
      <c r="I156" s="17">
        <v>112720668</v>
      </c>
      <c r="K156" s="17">
        <f t="shared" si="13"/>
        <v>15174661</v>
      </c>
      <c r="M156" s="17">
        <v>611816</v>
      </c>
      <c r="O156" s="17">
        <v>1477747</v>
      </c>
      <c r="Q156" s="17">
        <v>17264224</v>
      </c>
      <c r="S156" s="17">
        <v>75779392</v>
      </c>
      <c r="U156" s="17">
        <f t="shared" si="14"/>
        <v>729978</v>
      </c>
      <c r="W156" s="17">
        <v>18947074</v>
      </c>
      <c r="Y156" s="17">
        <v>95456444</v>
      </c>
      <c r="AA156" s="17">
        <f t="shared" si="9"/>
        <v>0</v>
      </c>
      <c r="AB156" s="33"/>
      <c r="AC156" s="33">
        <f t="shared" si="10"/>
        <v>0</v>
      </c>
    </row>
    <row r="157" spans="1:29">
      <c r="A157" s="12" t="s">
        <v>442</v>
      </c>
      <c r="B157" s="12"/>
      <c r="C157" s="12" t="s">
        <v>51</v>
      </c>
      <c r="D157" s="34"/>
      <c r="E157" s="17">
        <f t="shared" si="12"/>
        <v>0</v>
      </c>
      <c r="K157" s="17">
        <f t="shared" si="13"/>
        <v>0</v>
      </c>
      <c r="U157" s="17">
        <f t="shared" si="14"/>
        <v>0</v>
      </c>
      <c r="AA157" s="17">
        <f t="shared" si="9"/>
        <v>0</v>
      </c>
      <c r="AB157" s="33"/>
      <c r="AC157" s="33">
        <f t="shared" si="10"/>
        <v>0</v>
      </c>
    </row>
    <row r="158" spans="1:29">
      <c r="A158" s="12" t="s">
        <v>263</v>
      </c>
      <c r="B158" s="12"/>
      <c r="C158" s="12" t="s">
        <v>24</v>
      </c>
      <c r="D158" s="34"/>
      <c r="E158" s="17">
        <f t="shared" si="12"/>
        <v>545530</v>
      </c>
      <c r="I158" s="17">
        <v>545530</v>
      </c>
      <c r="K158" s="17">
        <f t="shared" si="13"/>
        <v>0</v>
      </c>
      <c r="U158" s="17">
        <f t="shared" si="14"/>
        <v>352321</v>
      </c>
      <c r="W158" s="17">
        <v>193209</v>
      </c>
      <c r="Y158" s="17">
        <v>545530</v>
      </c>
      <c r="AA158" s="17">
        <f t="shared" ref="AA158:AA169" si="15">+H158-P158-X158</f>
        <v>0</v>
      </c>
      <c r="AB158" s="33"/>
      <c r="AC158" s="33">
        <f t="shared" ref="AC158:AC169" si="16">+D158+F158+-J158-L158-R158-T158-V158-N158</f>
        <v>0</v>
      </c>
    </row>
    <row r="159" spans="1:29">
      <c r="A159" s="12" t="s">
        <v>317</v>
      </c>
      <c r="B159" s="12"/>
      <c r="C159" s="12" t="s">
        <v>20</v>
      </c>
      <c r="D159" s="34"/>
      <c r="E159" s="17">
        <f t="shared" si="12"/>
        <v>1412345</v>
      </c>
      <c r="I159" s="17">
        <v>1412345</v>
      </c>
      <c r="K159" s="17">
        <f t="shared" si="13"/>
        <v>0</v>
      </c>
      <c r="U159" s="17">
        <f t="shared" si="14"/>
        <v>685607</v>
      </c>
      <c r="W159" s="17">
        <v>726738</v>
      </c>
      <c r="Y159" s="17">
        <v>1412345</v>
      </c>
      <c r="AA159" s="17">
        <f t="shared" si="15"/>
        <v>0</v>
      </c>
      <c r="AB159" s="33"/>
      <c r="AC159" s="33">
        <f t="shared" si="16"/>
        <v>0</v>
      </c>
    </row>
    <row r="160" spans="1:29">
      <c r="A160" s="12" t="s">
        <v>342</v>
      </c>
      <c r="B160" s="12"/>
      <c r="C160" s="12" t="s">
        <v>25</v>
      </c>
      <c r="D160" s="34"/>
      <c r="E160" s="17">
        <f t="shared" si="12"/>
        <v>3535681</v>
      </c>
      <c r="I160" s="17">
        <v>3535681</v>
      </c>
      <c r="K160" s="17">
        <f>+Q160-M160-O160</f>
        <v>0</v>
      </c>
      <c r="U160" s="17">
        <f>Y160-W160-S160</f>
        <v>1584370</v>
      </c>
      <c r="W160" s="17">
        <v>1951311</v>
      </c>
      <c r="Y160" s="17">
        <v>3535681</v>
      </c>
      <c r="AA160" s="17">
        <f t="shared" si="15"/>
        <v>0</v>
      </c>
      <c r="AB160" s="33"/>
      <c r="AC160" s="33">
        <f t="shared" si="16"/>
        <v>0</v>
      </c>
    </row>
    <row r="161" spans="1:29">
      <c r="A161" s="12" t="s">
        <v>268</v>
      </c>
      <c r="B161" s="12"/>
      <c r="C161" s="12" t="s">
        <v>223</v>
      </c>
      <c r="D161" s="34"/>
      <c r="E161" s="17">
        <f t="shared" si="12"/>
        <v>4238664</v>
      </c>
      <c r="I161" s="17">
        <v>4238664</v>
      </c>
      <c r="K161" s="17">
        <f>+Q161-M161-O161</f>
        <v>0</v>
      </c>
      <c r="U161" s="17">
        <f>Y161-W161-S161</f>
        <v>1277120</v>
      </c>
      <c r="W161" s="17">
        <v>2961544</v>
      </c>
      <c r="Y161" s="17">
        <v>4238664</v>
      </c>
      <c r="AA161" s="17">
        <f t="shared" si="15"/>
        <v>0</v>
      </c>
      <c r="AB161" s="33"/>
      <c r="AC161" s="33">
        <f t="shared" si="16"/>
        <v>0</v>
      </c>
    </row>
    <row r="162" spans="1:29">
      <c r="A162" s="1" t="s">
        <v>270</v>
      </c>
      <c r="B162" s="1"/>
      <c r="C162" s="1" t="s">
        <v>63</v>
      </c>
      <c r="D162" s="30"/>
      <c r="E162" s="17">
        <f t="shared" si="12"/>
        <v>0</v>
      </c>
      <c r="K162" s="17">
        <f t="shared" si="13"/>
        <v>0</v>
      </c>
      <c r="U162" s="17">
        <f t="shared" si="14"/>
        <v>0</v>
      </c>
      <c r="AA162" s="17">
        <f t="shared" si="15"/>
        <v>0</v>
      </c>
      <c r="AB162" s="33"/>
      <c r="AC162" s="33">
        <f t="shared" si="16"/>
        <v>0</v>
      </c>
    </row>
    <row r="163" spans="1:29">
      <c r="A163" s="1" t="s">
        <v>37</v>
      </c>
      <c r="B163" s="1"/>
      <c r="C163" s="1" t="s">
        <v>13</v>
      </c>
      <c r="D163" s="34"/>
      <c r="E163" s="17">
        <f t="shared" si="12"/>
        <v>0</v>
      </c>
      <c r="K163" s="17">
        <f t="shared" si="13"/>
        <v>0</v>
      </c>
      <c r="U163" s="17">
        <f t="shared" si="14"/>
        <v>0</v>
      </c>
      <c r="AA163" s="17">
        <f t="shared" si="15"/>
        <v>0</v>
      </c>
      <c r="AB163" s="33"/>
      <c r="AC163" s="33">
        <f t="shared" si="16"/>
        <v>0</v>
      </c>
    </row>
    <row r="164" spans="1:29">
      <c r="A164" s="12" t="s">
        <v>274</v>
      </c>
      <c r="B164" s="12"/>
      <c r="C164" s="12" t="s">
        <v>13</v>
      </c>
      <c r="D164" s="34"/>
      <c r="E164" s="17">
        <f t="shared" si="12"/>
        <v>4412116</v>
      </c>
      <c r="I164" s="17">
        <v>4412116</v>
      </c>
      <c r="K164" s="17">
        <f t="shared" si="13"/>
        <v>0</v>
      </c>
      <c r="U164" s="17">
        <f t="shared" si="14"/>
        <v>614153</v>
      </c>
      <c r="W164" s="17">
        <v>3797963</v>
      </c>
      <c r="Y164" s="17">
        <v>4412116</v>
      </c>
      <c r="AA164" s="17">
        <f t="shared" si="15"/>
        <v>0</v>
      </c>
      <c r="AB164" s="33"/>
      <c r="AC164" s="33">
        <f t="shared" si="16"/>
        <v>0</v>
      </c>
    </row>
    <row r="165" spans="1:29">
      <c r="A165" s="1" t="s">
        <v>394</v>
      </c>
      <c r="B165" s="1"/>
      <c r="C165" s="1" t="s">
        <v>67</v>
      </c>
      <c r="D165" s="34"/>
      <c r="E165" s="17">
        <f t="shared" si="12"/>
        <v>0</v>
      </c>
      <c r="K165" s="17">
        <f t="shared" si="13"/>
        <v>0</v>
      </c>
      <c r="U165" s="17">
        <f t="shared" si="14"/>
        <v>0</v>
      </c>
      <c r="AA165" s="17">
        <f t="shared" si="15"/>
        <v>0</v>
      </c>
      <c r="AB165" s="33"/>
      <c r="AC165" s="33">
        <f t="shared" si="16"/>
        <v>0</v>
      </c>
    </row>
    <row r="166" spans="1:29">
      <c r="A166" s="12" t="s">
        <v>277</v>
      </c>
      <c r="B166" s="12"/>
      <c r="C166" s="12" t="s">
        <v>90</v>
      </c>
      <c r="D166" s="34"/>
      <c r="E166" s="17">
        <f t="shared" si="12"/>
        <v>24776814</v>
      </c>
      <c r="G166" s="17">
        <f>7661857+910379</f>
        <v>8572236</v>
      </c>
      <c r="I166" s="17">
        <v>33349050</v>
      </c>
      <c r="K166" s="17">
        <f t="shared" si="13"/>
        <v>6949727</v>
      </c>
      <c r="M166" s="17">
        <v>13314</v>
      </c>
      <c r="O166" s="17">
        <v>112157</v>
      </c>
      <c r="Q166" s="17">
        <v>7075198</v>
      </c>
      <c r="S166" s="17">
        <v>8572236</v>
      </c>
      <c r="U166" s="17">
        <f t="shared" si="14"/>
        <v>9380</v>
      </c>
      <c r="W166" s="17">
        <v>17692236</v>
      </c>
      <c r="Y166" s="17">
        <v>26273852</v>
      </c>
      <c r="AA166" s="17">
        <f t="shared" si="15"/>
        <v>0</v>
      </c>
      <c r="AB166" s="33"/>
      <c r="AC166" s="33">
        <f t="shared" si="16"/>
        <v>0</v>
      </c>
    </row>
    <row r="167" spans="1:29">
      <c r="A167" s="1" t="s">
        <v>278</v>
      </c>
      <c r="B167" s="1"/>
      <c r="C167" s="1" t="s">
        <v>53</v>
      </c>
      <c r="D167" s="34"/>
      <c r="E167" s="17">
        <f t="shared" si="12"/>
        <v>0</v>
      </c>
      <c r="K167" s="17">
        <f t="shared" si="13"/>
        <v>0</v>
      </c>
      <c r="U167" s="17">
        <f t="shared" si="14"/>
        <v>0</v>
      </c>
      <c r="AA167" s="17">
        <f t="shared" si="15"/>
        <v>0</v>
      </c>
      <c r="AB167" s="33"/>
      <c r="AC167" s="33">
        <f t="shared" si="16"/>
        <v>0</v>
      </c>
    </row>
    <row r="168" spans="1:29" ht="12.75">
      <c r="A168" s="16"/>
      <c r="B168" s="16"/>
      <c r="C168" s="16"/>
      <c r="D168" s="34"/>
      <c r="K168" s="17">
        <f t="shared" si="13"/>
        <v>0</v>
      </c>
      <c r="U168" s="17">
        <f t="shared" si="14"/>
        <v>0</v>
      </c>
      <c r="AA168" s="17">
        <f t="shared" si="15"/>
        <v>0</v>
      </c>
      <c r="AB168" s="33"/>
      <c r="AC168" s="33">
        <f t="shared" si="16"/>
        <v>0</v>
      </c>
    </row>
    <row r="169" spans="1:29">
      <c r="A169" s="34"/>
      <c r="B169" s="34"/>
      <c r="C169" s="34"/>
      <c r="D169" s="34"/>
      <c r="K169" s="17">
        <f t="shared" si="13"/>
        <v>0</v>
      </c>
      <c r="U169" s="17">
        <f t="shared" si="14"/>
        <v>0</v>
      </c>
      <c r="AA169" s="17">
        <f t="shared" si="15"/>
        <v>0</v>
      </c>
      <c r="AB169" s="33"/>
      <c r="AC169" s="33">
        <f t="shared" si="16"/>
        <v>0</v>
      </c>
    </row>
    <row r="170" spans="1:29">
      <c r="A170" s="34"/>
      <c r="B170" s="34"/>
      <c r="C170" s="34"/>
      <c r="D170" s="34"/>
      <c r="K170" s="17">
        <f t="shared" si="13"/>
        <v>0</v>
      </c>
      <c r="U170" s="17">
        <f t="shared" si="14"/>
        <v>0</v>
      </c>
      <c r="AA170" s="17">
        <f t="shared" ref="AA170:AA207" si="17">+I170-Q170-Y170</f>
        <v>0</v>
      </c>
      <c r="AC170" s="33">
        <f t="shared" ref="AC170:AC207" si="18">+E170+G170+-K170-M170-S170-U170-W170-O170</f>
        <v>0</v>
      </c>
    </row>
    <row r="171" spans="1:29">
      <c r="A171" s="34"/>
      <c r="B171" s="34"/>
      <c r="C171" s="34"/>
      <c r="D171" s="34"/>
      <c r="K171" s="17">
        <f t="shared" si="13"/>
        <v>0</v>
      </c>
      <c r="U171" s="17">
        <f t="shared" si="14"/>
        <v>0</v>
      </c>
      <c r="AA171" s="17">
        <f t="shared" si="17"/>
        <v>0</v>
      </c>
      <c r="AC171" s="33">
        <f t="shared" si="18"/>
        <v>0</v>
      </c>
    </row>
    <row r="172" spans="1:29">
      <c r="A172" s="34"/>
      <c r="B172" s="34"/>
      <c r="C172" s="34"/>
      <c r="D172" s="34"/>
      <c r="K172" s="17">
        <f t="shared" si="13"/>
        <v>0</v>
      </c>
      <c r="U172" s="17">
        <f t="shared" si="14"/>
        <v>0</v>
      </c>
      <c r="AA172" s="17">
        <f t="shared" si="17"/>
        <v>0</v>
      </c>
      <c r="AC172" s="33">
        <f t="shared" si="18"/>
        <v>0</v>
      </c>
    </row>
    <row r="173" spans="1:29">
      <c r="A173" s="34"/>
      <c r="B173" s="34"/>
      <c r="C173" s="34"/>
      <c r="D173" s="34"/>
      <c r="K173" s="17">
        <f t="shared" si="13"/>
        <v>0</v>
      </c>
      <c r="U173" s="17">
        <f t="shared" si="14"/>
        <v>0</v>
      </c>
      <c r="AA173" s="17">
        <f t="shared" si="17"/>
        <v>0</v>
      </c>
      <c r="AC173" s="33">
        <f t="shared" si="18"/>
        <v>0</v>
      </c>
    </row>
    <row r="174" spans="1:29">
      <c r="A174" s="34"/>
      <c r="B174" s="34"/>
      <c r="C174" s="34"/>
      <c r="D174" s="34"/>
      <c r="K174" s="17">
        <f t="shared" si="13"/>
        <v>0</v>
      </c>
      <c r="U174" s="17">
        <f t="shared" si="14"/>
        <v>0</v>
      </c>
      <c r="AA174" s="17">
        <f t="shared" si="17"/>
        <v>0</v>
      </c>
      <c r="AC174" s="33">
        <f t="shared" si="18"/>
        <v>0</v>
      </c>
    </row>
    <row r="175" spans="1:29">
      <c r="A175" s="34"/>
      <c r="B175" s="34"/>
      <c r="C175" s="34"/>
      <c r="D175" s="34"/>
      <c r="K175" s="17">
        <f t="shared" si="13"/>
        <v>0</v>
      </c>
      <c r="U175" s="17">
        <f t="shared" si="14"/>
        <v>0</v>
      </c>
      <c r="AA175" s="17">
        <f t="shared" si="17"/>
        <v>0</v>
      </c>
      <c r="AC175" s="33">
        <f t="shared" si="18"/>
        <v>0</v>
      </c>
    </row>
    <row r="176" spans="1:29">
      <c r="A176" s="34"/>
      <c r="B176" s="34"/>
      <c r="C176" s="34"/>
      <c r="D176" s="34"/>
      <c r="K176" s="17">
        <f t="shared" si="13"/>
        <v>0</v>
      </c>
      <c r="U176" s="17">
        <f t="shared" si="14"/>
        <v>0</v>
      </c>
      <c r="AA176" s="17">
        <f t="shared" si="17"/>
        <v>0</v>
      </c>
      <c r="AC176" s="33">
        <f t="shared" si="18"/>
        <v>0</v>
      </c>
    </row>
    <row r="177" spans="1:31">
      <c r="A177" s="34"/>
      <c r="B177" s="34"/>
      <c r="C177" s="34"/>
      <c r="D177" s="34"/>
      <c r="K177" s="17">
        <f t="shared" si="13"/>
        <v>0</v>
      </c>
      <c r="U177" s="17">
        <f t="shared" si="14"/>
        <v>0</v>
      </c>
      <c r="AA177" s="17">
        <f t="shared" si="17"/>
        <v>0</v>
      </c>
      <c r="AC177" s="33">
        <f t="shared" si="18"/>
        <v>0</v>
      </c>
      <c r="AE177" s="17" t="s">
        <v>536</v>
      </c>
    </row>
    <row r="178" spans="1:31">
      <c r="A178" s="34"/>
      <c r="B178" s="34"/>
      <c r="C178" s="34"/>
      <c r="D178" s="34"/>
      <c r="K178" s="17">
        <f t="shared" si="13"/>
        <v>0</v>
      </c>
      <c r="U178" s="17">
        <f t="shared" si="14"/>
        <v>0</v>
      </c>
      <c r="AA178" s="17">
        <f t="shared" si="17"/>
        <v>0</v>
      </c>
      <c r="AC178" s="33">
        <f t="shared" si="18"/>
        <v>0</v>
      </c>
    </row>
    <row r="179" spans="1:31">
      <c r="A179" s="34"/>
      <c r="B179" s="34"/>
      <c r="C179" s="34"/>
      <c r="D179" s="34"/>
      <c r="K179" s="17">
        <f t="shared" si="13"/>
        <v>0</v>
      </c>
      <c r="U179" s="17">
        <f t="shared" si="14"/>
        <v>0</v>
      </c>
      <c r="AA179" s="17">
        <f t="shared" si="17"/>
        <v>0</v>
      </c>
      <c r="AC179" s="33">
        <f t="shared" si="18"/>
        <v>0</v>
      </c>
    </row>
    <row r="180" spans="1:31">
      <c r="A180" s="34"/>
      <c r="B180" s="34"/>
      <c r="C180" s="34"/>
      <c r="D180" s="34"/>
      <c r="K180" s="17">
        <f t="shared" si="13"/>
        <v>0</v>
      </c>
      <c r="U180" s="17">
        <f t="shared" si="14"/>
        <v>0</v>
      </c>
      <c r="AA180" s="17">
        <f t="shared" si="17"/>
        <v>0</v>
      </c>
      <c r="AC180" s="33">
        <f t="shared" si="18"/>
        <v>0</v>
      </c>
    </row>
    <row r="181" spans="1:31">
      <c r="A181" s="34"/>
      <c r="B181" s="34"/>
      <c r="C181" s="34"/>
      <c r="D181" s="34"/>
      <c r="K181" s="17">
        <f t="shared" si="13"/>
        <v>0</v>
      </c>
      <c r="U181" s="17">
        <f t="shared" si="14"/>
        <v>0</v>
      </c>
      <c r="AA181" s="17">
        <f t="shared" si="17"/>
        <v>0</v>
      </c>
      <c r="AC181" s="33">
        <f t="shared" si="18"/>
        <v>0</v>
      </c>
    </row>
    <row r="182" spans="1:31">
      <c r="A182" s="34"/>
      <c r="B182" s="34"/>
      <c r="C182" s="34"/>
      <c r="D182" s="34"/>
      <c r="K182" s="17">
        <f t="shared" si="13"/>
        <v>0</v>
      </c>
      <c r="U182" s="17">
        <f t="shared" si="14"/>
        <v>0</v>
      </c>
      <c r="AA182" s="17">
        <f>+I182-Q182-Y182</f>
        <v>0</v>
      </c>
      <c r="AC182" s="33">
        <f t="shared" si="18"/>
        <v>0</v>
      </c>
    </row>
    <row r="183" spans="1:31">
      <c r="A183" s="34"/>
      <c r="B183" s="34"/>
      <c r="C183" s="34"/>
      <c r="D183" s="34"/>
      <c r="K183" s="17">
        <f t="shared" si="13"/>
        <v>0</v>
      </c>
      <c r="U183" s="17">
        <f t="shared" si="14"/>
        <v>0</v>
      </c>
      <c r="AA183" s="17">
        <f t="shared" si="17"/>
        <v>0</v>
      </c>
      <c r="AC183" s="33">
        <f t="shared" si="18"/>
        <v>0</v>
      </c>
    </row>
    <row r="184" spans="1:31">
      <c r="A184" s="34"/>
      <c r="B184" s="34"/>
      <c r="C184" s="34"/>
      <c r="D184" s="34"/>
      <c r="K184" s="17">
        <f t="shared" si="13"/>
        <v>0</v>
      </c>
      <c r="U184" s="17">
        <f t="shared" si="14"/>
        <v>0</v>
      </c>
      <c r="AA184" s="17">
        <f t="shared" si="17"/>
        <v>0</v>
      </c>
      <c r="AC184" s="33">
        <f t="shared" si="18"/>
        <v>0</v>
      </c>
    </row>
    <row r="185" spans="1:31">
      <c r="A185" s="34"/>
      <c r="B185" s="34"/>
      <c r="C185" s="34"/>
      <c r="D185" s="34"/>
      <c r="K185" s="17">
        <f t="shared" si="13"/>
        <v>0</v>
      </c>
      <c r="U185" s="17">
        <f t="shared" si="14"/>
        <v>0</v>
      </c>
      <c r="AA185" s="17">
        <f t="shared" si="17"/>
        <v>0</v>
      </c>
      <c r="AC185" s="33">
        <f t="shared" si="18"/>
        <v>0</v>
      </c>
    </row>
    <row r="186" spans="1:31">
      <c r="A186" s="34"/>
      <c r="B186" s="34"/>
      <c r="C186" s="34"/>
      <c r="D186" s="34"/>
      <c r="K186" s="17">
        <f t="shared" si="13"/>
        <v>0</v>
      </c>
      <c r="U186" s="17">
        <f t="shared" si="14"/>
        <v>0</v>
      </c>
      <c r="AA186" s="17">
        <f t="shared" si="17"/>
        <v>0</v>
      </c>
      <c r="AC186" s="33">
        <f t="shared" si="18"/>
        <v>0</v>
      </c>
    </row>
    <row r="187" spans="1:31">
      <c r="A187" s="34"/>
      <c r="B187" s="34"/>
      <c r="C187" s="34"/>
      <c r="D187" s="34"/>
      <c r="K187" s="17">
        <f t="shared" si="13"/>
        <v>0</v>
      </c>
      <c r="U187" s="17">
        <f t="shared" si="14"/>
        <v>0</v>
      </c>
      <c r="AA187" s="17">
        <f t="shared" si="17"/>
        <v>0</v>
      </c>
      <c r="AC187" s="33">
        <f t="shared" si="18"/>
        <v>0</v>
      </c>
    </row>
    <row r="188" spans="1:31">
      <c r="A188" s="34"/>
      <c r="B188" s="34"/>
      <c r="C188" s="34"/>
      <c r="D188" s="34"/>
      <c r="K188" s="17">
        <f t="shared" si="13"/>
        <v>0</v>
      </c>
      <c r="U188" s="17">
        <f t="shared" si="14"/>
        <v>0</v>
      </c>
      <c r="AA188" s="17">
        <f t="shared" si="17"/>
        <v>0</v>
      </c>
      <c r="AC188" s="33">
        <f t="shared" si="18"/>
        <v>0</v>
      </c>
    </row>
    <row r="189" spans="1:31">
      <c r="A189" s="34"/>
      <c r="B189" s="34"/>
      <c r="C189" s="34"/>
      <c r="D189" s="34"/>
      <c r="K189" s="17">
        <f t="shared" si="13"/>
        <v>0</v>
      </c>
      <c r="U189" s="17">
        <f t="shared" si="14"/>
        <v>0</v>
      </c>
      <c r="AA189" s="17">
        <f t="shared" si="17"/>
        <v>0</v>
      </c>
      <c r="AC189" s="33">
        <f t="shared" si="18"/>
        <v>0</v>
      </c>
    </row>
    <row r="190" spans="1:31">
      <c r="A190" s="34"/>
      <c r="B190" s="34"/>
      <c r="C190" s="34"/>
      <c r="D190" s="34"/>
      <c r="K190" s="17">
        <f t="shared" si="13"/>
        <v>0</v>
      </c>
      <c r="U190" s="17">
        <f t="shared" si="14"/>
        <v>0</v>
      </c>
      <c r="AA190" s="17">
        <f t="shared" si="17"/>
        <v>0</v>
      </c>
      <c r="AC190" s="33">
        <f t="shared" si="18"/>
        <v>0</v>
      </c>
    </row>
    <row r="191" spans="1:31">
      <c r="A191" s="34"/>
      <c r="B191" s="34"/>
      <c r="C191" s="34"/>
      <c r="D191" s="34"/>
      <c r="K191" s="17">
        <f t="shared" si="13"/>
        <v>0</v>
      </c>
      <c r="U191" s="17">
        <f t="shared" si="14"/>
        <v>0</v>
      </c>
      <c r="AA191" s="17">
        <f t="shared" si="17"/>
        <v>0</v>
      </c>
      <c r="AC191" s="33">
        <f t="shared" si="18"/>
        <v>0</v>
      </c>
    </row>
    <row r="192" spans="1:31">
      <c r="A192" s="34"/>
      <c r="B192" s="34"/>
      <c r="C192" s="34"/>
      <c r="D192" s="34"/>
      <c r="K192" s="17">
        <f t="shared" si="13"/>
        <v>0</v>
      </c>
      <c r="U192" s="17">
        <f t="shared" si="14"/>
        <v>0</v>
      </c>
      <c r="AA192" s="17">
        <f t="shared" si="17"/>
        <v>0</v>
      </c>
      <c r="AC192" s="33">
        <f t="shared" si="18"/>
        <v>0</v>
      </c>
    </row>
    <row r="193" spans="1:29">
      <c r="A193" s="34"/>
      <c r="B193" s="34"/>
      <c r="C193" s="34"/>
      <c r="D193" s="34"/>
      <c r="K193" s="17">
        <f>+Q193-M193-O193</f>
        <v>0</v>
      </c>
      <c r="U193" s="17">
        <f>Y193-W193-S193</f>
        <v>0</v>
      </c>
      <c r="AA193" s="17">
        <f>+I193-Q193-Y193</f>
        <v>0</v>
      </c>
      <c r="AC193" s="33">
        <f>+E193+G193+-K193-M193-S193-U193-W193-O193</f>
        <v>0</v>
      </c>
    </row>
    <row r="194" spans="1:29">
      <c r="A194" s="34"/>
      <c r="B194" s="34"/>
      <c r="C194" s="34"/>
      <c r="D194" s="34"/>
      <c r="K194" s="17">
        <f t="shared" si="13"/>
        <v>0</v>
      </c>
      <c r="U194" s="17">
        <f t="shared" si="14"/>
        <v>0</v>
      </c>
      <c r="AA194" s="17">
        <f t="shared" si="17"/>
        <v>0</v>
      </c>
      <c r="AC194" s="33">
        <f t="shared" si="18"/>
        <v>0</v>
      </c>
    </row>
    <row r="195" spans="1:29">
      <c r="A195" s="34"/>
      <c r="B195" s="34"/>
      <c r="C195" s="34"/>
      <c r="D195" s="34"/>
      <c r="K195" s="17">
        <f t="shared" si="13"/>
        <v>0</v>
      </c>
      <c r="U195" s="17">
        <f t="shared" si="14"/>
        <v>0</v>
      </c>
      <c r="AA195" s="17">
        <f t="shared" si="17"/>
        <v>0</v>
      </c>
      <c r="AC195" s="33">
        <f t="shared" si="18"/>
        <v>0</v>
      </c>
    </row>
    <row r="196" spans="1:29">
      <c r="A196" s="34"/>
      <c r="B196" s="34"/>
      <c r="C196" s="34"/>
      <c r="D196" s="34"/>
      <c r="K196" s="17">
        <f t="shared" si="13"/>
        <v>0</v>
      </c>
      <c r="U196" s="17">
        <f t="shared" si="14"/>
        <v>0</v>
      </c>
      <c r="AA196" s="17">
        <f t="shared" si="17"/>
        <v>0</v>
      </c>
      <c r="AC196" s="33">
        <f t="shared" si="18"/>
        <v>0</v>
      </c>
    </row>
    <row r="197" spans="1:29">
      <c r="A197" s="34"/>
      <c r="B197" s="34"/>
      <c r="C197" s="34"/>
      <c r="D197" s="34"/>
      <c r="K197" s="17">
        <f>+Q197-M197-O197</f>
        <v>0</v>
      </c>
      <c r="U197" s="17">
        <f>Y197-W197-S197</f>
        <v>0</v>
      </c>
      <c r="AA197" s="17">
        <f>+I197-Q197-Y197</f>
        <v>0</v>
      </c>
      <c r="AC197" s="33">
        <f>+E197+G197+-K197-M197-S197-U197-W197-O197</f>
        <v>0</v>
      </c>
    </row>
    <row r="198" spans="1:29">
      <c r="A198" s="34"/>
      <c r="B198" s="34"/>
      <c r="C198" s="34"/>
      <c r="D198" s="34"/>
      <c r="K198" s="17">
        <f t="shared" si="13"/>
        <v>0</v>
      </c>
      <c r="U198" s="17">
        <f>Y198-W198-S198</f>
        <v>0</v>
      </c>
      <c r="AA198" s="17">
        <f t="shared" si="17"/>
        <v>0</v>
      </c>
      <c r="AC198" s="33">
        <f t="shared" si="18"/>
        <v>0</v>
      </c>
    </row>
    <row r="199" spans="1:29">
      <c r="A199" s="34"/>
      <c r="B199" s="34"/>
      <c r="C199" s="34"/>
      <c r="D199" s="34"/>
      <c r="K199" s="17">
        <f t="shared" si="13"/>
        <v>0</v>
      </c>
      <c r="U199" s="17">
        <f t="shared" si="14"/>
        <v>0</v>
      </c>
      <c r="AA199" s="17">
        <f t="shared" si="17"/>
        <v>0</v>
      </c>
      <c r="AC199" s="33">
        <f t="shared" si="18"/>
        <v>0</v>
      </c>
    </row>
    <row r="200" spans="1:29">
      <c r="A200" s="34"/>
      <c r="B200" s="34"/>
      <c r="C200" s="34"/>
      <c r="D200" s="34"/>
      <c r="K200" s="17">
        <f t="shared" si="13"/>
        <v>0</v>
      </c>
      <c r="U200" s="17">
        <f t="shared" si="14"/>
        <v>0</v>
      </c>
      <c r="AA200" s="17">
        <f t="shared" si="17"/>
        <v>0</v>
      </c>
      <c r="AC200" s="33">
        <f t="shared" si="18"/>
        <v>0</v>
      </c>
    </row>
    <row r="201" spans="1:29">
      <c r="A201" s="34"/>
      <c r="B201" s="34"/>
      <c r="C201" s="34"/>
      <c r="D201" s="34"/>
      <c r="K201" s="17">
        <f t="shared" si="13"/>
        <v>0</v>
      </c>
      <c r="U201" s="17">
        <f t="shared" si="14"/>
        <v>0</v>
      </c>
      <c r="AA201" s="17">
        <f t="shared" si="17"/>
        <v>0</v>
      </c>
      <c r="AC201" s="33">
        <f t="shared" si="18"/>
        <v>0</v>
      </c>
    </row>
    <row r="202" spans="1:29">
      <c r="A202" s="34"/>
      <c r="B202" s="34"/>
      <c r="C202" s="34"/>
      <c r="D202" s="34"/>
      <c r="K202" s="17">
        <f>+Q202-M202-O202</f>
        <v>0</v>
      </c>
      <c r="U202" s="17">
        <f>Y202-W202-S202</f>
        <v>0</v>
      </c>
      <c r="AA202" s="17">
        <f t="shared" si="17"/>
        <v>0</v>
      </c>
      <c r="AC202" s="33">
        <f t="shared" si="18"/>
        <v>0</v>
      </c>
    </row>
    <row r="203" spans="1:29">
      <c r="A203" s="34"/>
      <c r="B203" s="34"/>
      <c r="C203" s="34"/>
      <c r="D203" s="34"/>
      <c r="K203" s="17">
        <f>+Q203-M203-O203</f>
        <v>0</v>
      </c>
      <c r="U203" s="17">
        <f>Y203-W203-S203</f>
        <v>0</v>
      </c>
      <c r="AA203" s="17">
        <f t="shared" si="17"/>
        <v>0</v>
      </c>
      <c r="AC203" s="33">
        <f t="shared" si="18"/>
        <v>0</v>
      </c>
    </row>
    <row r="204" spans="1:29">
      <c r="A204" s="34"/>
      <c r="B204" s="34"/>
      <c r="C204" s="34"/>
      <c r="D204" s="34"/>
      <c r="K204" s="17">
        <f>+Q204-M204-O204</f>
        <v>0</v>
      </c>
      <c r="U204" s="17">
        <f>Y204-W204-S204</f>
        <v>0</v>
      </c>
      <c r="AA204" s="17">
        <f t="shared" si="17"/>
        <v>0</v>
      </c>
      <c r="AC204" s="33">
        <f t="shared" si="18"/>
        <v>0</v>
      </c>
    </row>
    <row r="205" spans="1:29">
      <c r="A205" s="34"/>
      <c r="B205" s="34"/>
      <c r="C205" s="34"/>
      <c r="D205" s="34"/>
      <c r="K205" s="17">
        <f>+Q205-M205-O205</f>
        <v>0</v>
      </c>
      <c r="U205" s="17">
        <f>Y205-W205-S205</f>
        <v>0</v>
      </c>
      <c r="AA205" s="17">
        <f>+I205-Q205-Y205</f>
        <v>0</v>
      </c>
      <c r="AC205" s="33">
        <f>+E205+G205+-K205-M205-S205-U205-W205-O205</f>
        <v>0</v>
      </c>
    </row>
    <row r="206" spans="1:29">
      <c r="A206" s="34"/>
      <c r="B206" s="34"/>
      <c r="C206" s="34"/>
      <c r="D206" s="34"/>
      <c r="K206" s="17">
        <f>+Q206-M206-O206</f>
        <v>0</v>
      </c>
      <c r="U206" s="17">
        <f>Y206-W206-S206</f>
        <v>0</v>
      </c>
      <c r="AA206" s="17">
        <f t="shared" si="17"/>
        <v>0</v>
      </c>
      <c r="AC206" s="33">
        <f t="shared" si="18"/>
        <v>0</v>
      </c>
    </row>
    <row r="207" spans="1:29">
      <c r="A207" s="30"/>
      <c r="B207" s="30"/>
      <c r="C207" s="30"/>
      <c r="D207" s="30"/>
      <c r="K207" s="17">
        <f t="shared" ref="K207:K270" si="19">+Q207-M207-O207</f>
        <v>0</v>
      </c>
      <c r="U207" s="17">
        <f t="shared" ref="U207:U273" si="20">Y207-W207-S207</f>
        <v>0</v>
      </c>
      <c r="AA207" s="17">
        <f t="shared" si="17"/>
        <v>0</v>
      </c>
      <c r="AC207" s="33">
        <f t="shared" si="18"/>
        <v>0</v>
      </c>
    </row>
    <row r="209" spans="1:29" s="33" customFormat="1"/>
    <row r="210" spans="1:29" s="33" customFormat="1">
      <c r="A210" s="31"/>
      <c r="B210" s="31"/>
      <c r="C210" s="31"/>
      <c r="D210" s="31"/>
      <c r="K210" s="33">
        <f>+Q210-M210-O210</f>
        <v>0</v>
      </c>
      <c r="U210" s="33">
        <f>Y210-W210-S210</f>
        <v>0</v>
      </c>
      <c r="AA210" s="33">
        <f>+I210-Q210-Y210</f>
        <v>0</v>
      </c>
      <c r="AC210" s="33">
        <f>+E210+G210+-K210-M210-S210-U210-W210-O210</f>
        <v>0</v>
      </c>
    </row>
    <row r="211" spans="1:29">
      <c r="A211" s="34"/>
      <c r="B211" s="34"/>
      <c r="C211" s="34"/>
      <c r="D211" s="34"/>
      <c r="K211" s="17">
        <f>+Q211-M211-O211</f>
        <v>0</v>
      </c>
      <c r="U211" s="17">
        <f>Y211-W211-S211</f>
        <v>0</v>
      </c>
      <c r="AA211" s="17">
        <f>+I211-Q211-Y211</f>
        <v>0</v>
      </c>
      <c r="AC211" s="33">
        <f>+E211+G211+-K211-M211-S211-U211-W211-O211</f>
        <v>0</v>
      </c>
    </row>
    <row r="212" spans="1:29">
      <c r="A212" s="34"/>
      <c r="B212" s="34"/>
      <c r="C212" s="34"/>
      <c r="D212" s="34"/>
      <c r="K212" s="17">
        <f>+Q212-M212-O212</f>
        <v>0</v>
      </c>
      <c r="U212" s="17">
        <f>Y212-W212-S212</f>
        <v>0</v>
      </c>
      <c r="AA212" s="17">
        <f>+I212-Q212-Y212</f>
        <v>0</v>
      </c>
      <c r="AC212" s="33">
        <f>+E212+G212+-K212-M212-S212-U212-W212-O212</f>
        <v>0</v>
      </c>
    </row>
    <row r="213" spans="1:29">
      <c r="A213" s="34"/>
      <c r="B213" s="34"/>
      <c r="C213" s="34"/>
      <c r="D213" s="34"/>
      <c r="K213" s="17">
        <f>+Q213-M213-O213</f>
        <v>0</v>
      </c>
      <c r="U213" s="17">
        <f>Y213-W213-S213</f>
        <v>0</v>
      </c>
      <c r="AA213" s="17">
        <f>+I213-Q213-Y213</f>
        <v>0</v>
      </c>
      <c r="AC213" s="33">
        <f>+E213+G213+-K213-M213-S213-U213-W213-O213</f>
        <v>0</v>
      </c>
    </row>
    <row r="214" spans="1:29">
      <c r="A214" s="30"/>
      <c r="B214" s="30"/>
      <c r="C214" s="30"/>
      <c r="D214" s="30"/>
      <c r="K214" s="17">
        <f t="shared" si="19"/>
        <v>0</v>
      </c>
      <c r="U214" s="17">
        <f t="shared" si="20"/>
        <v>0</v>
      </c>
      <c r="AA214" s="17">
        <f t="shared" ref="AA214:AA277" si="21">+I214-Q214-Y214</f>
        <v>0</v>
      </c>
      <c r="AC214" s="17">
        <f t="shared" ref="AC214:AC277" si="22">+E214+G214+-K214-M214-S214-U214-W214-O214</f>
        <v>0</v>
      </c>
    </row>
    <row r="215" spans="1:29">
      <c r="A215" s="34"/>
      <c r="B215" s="34"/>
      <c r="C215" s="34"/>
      <c r="D215" s="34"/>
      <c r="K215" s="17">
        <f t="shared" si="19"/>
        <v>0</v>
      </c>
      <c r="U215" s="17">
        <f t="shared" si="20"/>
        <v>0</v>
      </c>
      <c r="AA215" s="17">
        <f t="shared" si="21"/>
        <v>0</v>
      </c>
      <c r="AC215" s="33">
        <f t="shared" si="22"/>
        <v>0</v>
      </c>
    </row>
    <row r="216" spans="1:29">
      <c r="A216" s="34"/>
      <c r="B216" s="34"/>
      <c r="C216" s="34"/>
      <c r="D216" s="34"/>
      <c r="K216" s="17">
        <f t="shared" si="19"/>
        <v>0</v>
      </c>
      <c r="U216" s="17">
        <f t="shared" si="20"/>
        <v>0</v>
      </c>
      <c r="AA216" s="17">
        <f t="shared" si="21"/>
        <v>0</v>
      </c>
      <c r="AC216" s="33">
        <f t="shared" si="22"/>
        <v>0</v>
      </c>
    </row>
    <row r="217" spans="1:29">
      <c r="A217" s="34"/>
      <c r="B217" s="34"/>
      <c r="C217" s="34"/>
      <c r="D217" s="34"/>
      <c r="K217" s="17">
        <f t="shared" si="19"/>
        <v>0</v>
      </c>
      <c r="U217" s="17">
        <f t="shared" si="20"/>
        <v>0</v>
      </c>
      <c r="AA217" s="17">
        <f t="shared" si="21"/>
        <v>0</v>
      </c>
      <c r="AC217" s="33">
        <f t="shared" si="22"/>
        <v>0</v>
      </c>
    </row>
    <row r="218" spans="1:29">
      <c r="A218" s="34"/>
      <c r="B218" s="34"/>
      <c r="C218" s="34"/>
      <c r="D218" s="34"/>
      <c r="K218" s="17">
        <f t="shared" si="19"/>
        <v>0</v>
      </c>
      <c r="U218" s="17">
        <f t="shared" si="20"/>
        <v>0</v>
      </c>
      <c r="AA218" s="17">
        <f t="shared" si="21"/>
        <v>0</v>
      </c>
      <c r="AC218" s="33">
        <f t="shared" si="22"/>
        <v>0</v>
      </c>
    </row>
    <row r="219" spans="1:29">
      <c r="A219" s="34"/>
      <c r="B219" s="34"/>
      <c r="C219" s="34"/>
      <c r="D219" s="34"/>
      <c r="K219" s="17">
        <f t="shared" si="19"/>
        <v>0</v>
      </c>
      <c r="U219" s="17">
        <f t="shared" si="20"/>
        <v>0</v>
      </c>
      <c r="AA219" s="17">
        <f t="shared" si="21"/>
        <v>0</v>
      </c>
      <c r="AC219" s="33">
        <f t="shared" si="22"/>
        <v>0</v>
      </c>
    </row>
    <row r="220" spans="1:29">
      <c r="A220" s="34"/>
      <c r="B220" s="34"/>
      <c r="C220" s="34"/>
      <c r="D220" s="34"/>
      <c r="K220" s="17">
        <f t="shared" si="19"/>
        <v>0</v>
      </c>
      <c r="U220" s="17">
        <f t="shared" si="20"/>
        <v>0</v>
      </c>
      <c r="AA220" s="17">
        <f>+I220-Q220-Y220</f>
        <v>0</v>
      </c>
      <c r="AC220" s="33">
        <f>+E220+G220+-K220-M220-S220-U220-W220-O220</f>
        <v>0</v>
      </c>
    </row>
    <row r="221" spans="1:29">
      <c r="A221" s="34"/>
      <c r="B221" s="34"/>
      <c r="C221" s="34"/>
      <c r="D221" s="34"/>
      <c r="K221" s="17">
        <f t="shared" si="19"/>
        <v>0</v>
      </c>
      <c r="U221" s="17">
        <f t="shared" si="20"/>
        <v>0</v>
      </c>
      <c r="AA221" s="17">
        <f>+I221-Q221-Y221</f>
        <v>0</v>
      </c>
      <c r="AC221" s="33">
        <f>+E221+G221+-K221-M221-S221-U221-W221-O221</f>
        <v>0</v>
      </c>
    </row>
    <row r="222" spans="1:29">
      <c r="A222" s="34"/>
      <c r="B222" s="34"/>
      <c r="C222" s="34"/>
      <c r="D222" s="34"/>
      <c r="K222" s="17">
        <f t="shared" si="19"/>
        <v>0</v>
      </c>
      <c r="U222" s="17">
        <f t="shared" si="20"/>
        <v>0</v>
      </c>
      <c r="AA222" s="17">
        <f t="shared" si="21"/>
        <v>0</v>
      </c>
      <c r="AC222" s="33">
        <f t="shared" si="22"/>
        <v>0</v>
      </c>
    </row>
    <row r="223" spans="1:29">
      <c r="A223" s="34"/>
      <c r="B223" s="34"/>
      <c r="C223" s="34"/>
      <c r="D223" s="34"/>
      <c r="K223" s="17">
        <f t="shared" si="19"/>
        <v>0</v>
      </c>
      <c r="U223" s="17">
        <f t="shared" si="20"/>
        <v>0</v>
      </c>
      <c r="AA223" s="17">
        <f t="shared" si="21"/>
        <v>0</v>
      </c>
      <c r="AC223" s="33">
        <f t="shared" si="22"/>
        <v>0</v>
      </c>
    </row>
    <row r="224" spans="1:29">
      <c r="A224" s="34"/>
      <c r="B224" s="34"/>
      <c r="C224" s="34"/>
      <c r="D224" s="34"/>
      <c r="K224" s="17">
        <f t="shared" si="19"/>
        <v>0</v>
      </c>
      <c r="U224" s="17">
        <f t="shared" si="20"/>
        <v>0</v>
      </c>
      <c r="AA224" s="17">
        <f t="shared" si="21"/>
        <v>0</v>
      </c>
      <c r="AC224" s="33">
        <f t="shared" si="22"/>
        <v>0</v>
      </c>
    </row>
    <row r="225" spans="1:29">
      <c r="A225" s="34"/>
      <c r="B225" s="34"/>
      <c r="C225" s="34"/>
      <c r="D225" s="34"/>
      <c r="K225" s="17">
        <f t="shared" si="19"/>
        <v>0</v>
      </c>
      <c r="U225" s="17">
        <f t="shared" si="20"/>
        <v>0</v>
      </c>
      <c r="AA225" s="17">
        <f t="shared" si="21"/>
        <v>0</v>
      </c>
      <c r="AC225" s="33">
        <f t="shared" si="22"/>
        <v>0</v>
      </c>
    </row>
    <row r="226" spans="1:29">
      <c r="A226" s="34"/>
      <c r="B226" s="34"/>
      <c r="C226" s="34"/>
      <c r="D226" s="34"/>
      <c r="K226" s="17">
        <f>+Q226-M226-O226</f>
        <v>0</v>
      </c>
      <c r="U226" s="17">
        <f>Y226-W226-S226</f>
        <v>0</v>
      </c>
      <c r="AA226" s="17">
        <f>+I226-Q226-Y226</f>
        <v>0</v>
      </c>
      <c r="AC226" s="33">
        <f>+E226+G226+-K226-M226-S226-U226-W226-O226</f>
        <v>0</v>
      </c>
    </row>
    <row r="227" spans="1:29">
      <c r="A227" s="34"/>
      <c r="B227" s="34"/>
      <c r="C227" s="34"/>
      <c r="D227" s="34"/>
      <c r="K227" s="17">
        <f t="shared" si="19"/>
        <v>0</v>
      </c>
      <c r="U227" s="17">
        <f t="shared" si="20"/>
        <v>0</v>
      </c>
      <c r="AA227" s="17">
        <f t="shared" si="21"/>
        <v>0</v>
      </c>
      <c r="AC227" s="33">
        <f t="shared" si="22"/>
        <v>0</v>
      </c>
    </row>
    <row r="228" spans="1:29">
      <c r="A228" s="34"/>
      <c r="B228" s="34"/>
      <c r="C228" s="34"/>
      <c r="D228" s="34"/>
      <c r="K228" s="17">
        <f t="shared" si="19"/>
        <v>0</v>
      </c>
      <c r="U228" s="17">
        <f t="shared" si="20"/>
        <v>0</v>
      </c>
      <c r="AA228" s="17">
        <f t="shared" si="21"/>
        <v>0</v>
      </c>
      <c r="AC228" s="33">
        <f t="shared" si="22"/>
        <v>0</v>
      </c>
    </row>
    <row r="229" spans="1:29">
      <c r="A229" s="34"/>
      <c r="B229" s="34"/>
      <c r="C229" s="34"/>
      <c r="D229" s="34"/>
      <c r="K229" s="17">
        <f t="shared" si="19"/>
        <v>0</v>
      </c>
      <c r="U229" s="17">
        <f t="shared" si="20"/>
        <v>0</v>
      </c>
      <c r="AA229" s="17">
        <f t="shared" si="21"/>
        <v>0</v>
      </c>
      <c r="AC229" s="33">
        <f t="shared" si="22"/>
        <v>0</v>
      </c>
    </row>
    <row r="230" spans="1:29">
      <c r="A230" s="34"/>
      <c r="B230" s="34"/>
      <c r="C230" s="34"/>
      <c r="D230" s="34"/>
      <c r="K230" s="17">
        <f t="shared" si="19"/>
        <v>0</v>
      </c>
      <c r="U230" s="17">
        <f t="shared" si="20"/>
        <v>0</v>
      </c>
      <c r="AA230" s="17">
        <f t="shared" si="21"/>
        <v>0</v>
      </c>
      <c r="AC230" s="33">
        <f t="shared" si="22"/>
        <v>0</v>
      </c>
    </row>
    <row r="231" spans="1:29">
      <c r="A231" s="34"/>
      <c r="B231" s="34"/>
      <c r="C231" s="34"/>
      <c r="D231" s="34"/>
      <c r="K231" s="17">
        <f t="shared" si="19"/>
        <v>0</v>
      </c>
      <c r="U231" s="17">
        <f t="shared" si="20"/>
        <v>0</v>
      </c>
      <c r="AA231" s="17">
        <f t="shared" si="21"/>
        <v>0</v>
      </c>
      <c r="AC231" s="33">
        <f t="shared" si="22"/>
        <v>0</v>
      </c>
    </row>
    <row r="232" spans="1:29">
      <c r="A232" s="34"/>
      <c r="B232" s="34"/>
      <c r="C232" s="34"/>
      <c r="D232" s="34"/>
      <c r="K232" s="17">
        <f t="shared" si="19"/>
        <v>0</v>
      </c>
      <c r="U232" s="17">
        <f t="shared" si="20"/>
        <v>0</v>
      </c>
      <c r="AA232" s="17">
        <f t="shared" si="21"/>
        <v>0</v>
      </c>
      <c r="AC232" s="33">
        <f t="shared" si="22"/>
        <v>0</v>
      </c>
    </row>
    <row r="233" spans="1:29">
      <c r="A233" s="34"/>
      <c r="B233" s="34"/>
      <c r="C233" s="34"/>
      <c r="D233" s="34"/>
      <c r="K233" s="17">
        <f t="shared" si="19"/>
        <v>0</v>
      </c>
      <c r="U233" s="17">
        <f t="shared" si="20"/>
        <v>0</v>
      </c>
      <c r="AA233" s="17">
        <f t="shared" si="21"/>
        <v>0</v>
      </c>
      <c r="AC233" s="33">
        <f t="shared" si="22"/>
        <v>0</v>
      </c>
    </row>
    <row r="234" spans="1:29">
      <c r="A234" s="34"/>
      <c r="B234" s="34"/>
      <c r="C234" s="34"/>
      <c r="D234" s="34"/>
      <c r="K234" s="17">
        <f t="shared" si="19"/>
        <v>0</v>
      </c>
      <c r="U234" s="17">
        <f t="shared" si="20"/>
        <v>0</v>
      </c>
      <c r="AA234" s="17">
        <f t="shared" si="21"/>
        <v>0</v>
      </c>
      <c r="AC234" s="33">
        <f t="shared" si="22"/>
        <v>0</v>
      </c>
    </row>
    <row r="235" spans="1:29">
      <c r="A235" s="34"/>
      <c r="B235" s="34"/>
      <c r="C235" s="34"/>
      <c r="D235" s="34"/>
      <c r="K235" s="17">
        <f t="shared" si="19"/>
        <v>0</v>
      </c>
      <c r="U235" s="17">
        <f t="shared" si="20"/>
        <v>0</v>
      </c>
      <c r="AA235" s="17">
        <f t="shared" si="21"/>
        <v>0</v>
      </c>
      <c r="AC235" s="33">
        <f t="shared" si="22"/>
        <v>0</v>
      </c>
    </row>
    <row r="236" spans="1:29">
      <c r="A236" s="34"/>
      <c r="B236" s="34"/>
      <c r="C236" s="34"/>
      <c r="D236" s="34"/>
      <c r="K236" s="17">
        <f t="shared" si="19"/>
        <v>0</v>
      </c>
      <c r="U236" s="17">
        <f t="shared" si="20"/>
        <v>0</v>
      </c>
      <c r="AA236" s="17">
        <f t="shared" si="21"/>
        <v>0</v>
      </c>
      <c r="AC236" s="33">
        <f t="shared" si="22"/>
        <v>0</v>
      </c>
    </row>
    <row r="237" spans="1:29">
      <c r="A237" s="34"/>
      <c r="B237" s="34"/>
      <c r="C237" s="34"/>
      <c r="D237" s="34"/>
      <c r="K237" s="17">
        <f t="shared" si="19"/>
        <v>0</v>
      </c>
      <c r="U237" s="17">
        <f t="shared" si="20"/>
        <v>0</v>
      </c>
      <c r="AA237" s="17">
        <f t="shared" si="21"/>
        <v>0</v>
      </c>
      <c r="AC237" s="33">
        <f t="shared" si="22"/>
        <v>0</v>
      </c>
    </row>
    <row r="238" spans="1:29">
      <c r="A238" s="34"/>
      <c r="B238" s="34"/>
      <c r="C238" s="34"/>
      <c r="D238" s="34"/>
      <c r="K238" s="17">
        <f t="shared" si="19"/>
        <v>0</v>
      </c>
      <c r="U238" s="17">
        <f t="shared" si="20"/>
        <v>0</v>
      </c>
      <c r="AA238" s="17">
        <f t="shared" si="21"/>
        <v>0</v>
      </c>
      <c r="AC238" s="33">
        <f t="shared" si="22"/>
        <v>0</v>
      </c>
    </row>
    <row r="239" spans="1:29">
      <c r="A239" s="34"/>
      <c r="B239" s="34"/>
      <c r="C239" s="34"/>
      <c r="D239" s="34"/>
      <c r="K239" s="17">
        <f t="shared" si="19"/>
        <v>0</v>
      </c>
      <c r="U239" s="17">
        <f t="shared" si="20"/>
        <v>0</v>
      </c>
      <c r="AA239" s="17">
        <f>+I239-Q239-Y239</f>
        <v>0</v>
      </c>
      <c r="AC239" s="33">
        <f t="shared" si="22"/>
        <v>0</v>
      </c>
    </row>
    <row r="240" spans="1:29">
      <c r="A240" s="34"/>
      <c r="B240" s="34"/>
      <c r="C240" s="34"/>
      <c r="D240" s="34"/>
      <c r="K240" s="17">
        <f t="shared" si="19"/>
        <v>0</v>
      </c>
      <c r="U240" s="17">
        <f t="shared" si="20"/>
        <v>0</v>
      </c>
      <c r="AA240" s="17">
        <f t="shared" si="21"/>
        <v>0</v>
      </c>
      <c r="AC240" s="33">
        <f t="shared" si="22"/>
        <v>0</v>
      </c>
    </row>
    <row r="241" spans="1:29">
      <c r="A241" s="34"/>
      <c r="B241" s="34"/>
      <c r="C241" s="34"/>
      <c r="D241" s="34"/>
      <c r="K241" s="17">
        <f t="shared" si="19"/>
        <v>0</v>
      </c>
      <c r="U241" s="17">
        <f t="shared" si="20"/>
        <v>0</v>
      </c>
      <c r="AA241" s="17">
        <f t="shared" si="21"/>
        <v>0</v>
      </c>
      <c r="AC241" s="33">
        <f t="shared" si="22"/>
        <v>0</v>
      </c>
    </row>
    <row r="242" spans="1:29">
      <c r="A242" s="34"/>
      <c r="B242" s="34"/>
      <c r="C242" s="34"/>
      <c r="D242" s="34"/>
      <c r="K242" s="17">
        <f t="shared" si="19"/>
        <v>0</v>
      </c>
      <c r="U242" s="17">
        <f t="shared" si="20"/>
        <v>0</v>
      </c>
      <c r="AA242" s="17">
        <f t="shared" si="21"/>
        <v>0</v>
      </c>
      <c r="AC242" s="33">
        <f t="shared" si="22"/>
        <v>0</v>
      </c>
    </row>
    <row r="243" spans="1:29">
      <c r="A243" s="34"/>
      <c r="B243" s="34"/>
      <c r="C243" s="34"/>
      <c r="D243" s="34"/>
      <c r="K243" s="17">
        <f t="shared" si="19"/>
        <v>0</v>
      </c>
      <c r="U243" s="17">
        <f t="shared" si="20"/>
        <v>0</v>
      </c>
      <c r="AA243" s="17">
        <f t="shared" si="21"/>
        <v>0</v>
      </c>
      <c r="AC243" s="33">
        <f t="shared" si="22"/>
        <v>0</v>
      </c>
    </row>
    <row r="244" spans="1:29">
      <c r="A244" s="34"/>
      <c r="B244" s="34"/>
      <c r="C244" s="34"/>
      <c r="D244" s="34"/>
      <c r="K244" s="17">
        <f t="shared" si="19"/>
        <v>0</v>
      </c>
      <c r="U244" s="17">
        <f t="shared" si="20"/>
        <v>0</v>
      </c>
      <c r="AA244" s="17">
        <f t="shared" si="21"/>
        <v>0</v>
      </c>
      <c r="AC244" s="33">
        <f t="shared" si="22"/>
        <v>0</v>
      </c>
    </row>
    <row r="245" spans="1:29">
      <c r="A245" s="34"/>
      <c r="B245" s="34"/>
      <c r="C245" s="34"/>
      <c r="D245" s="34"/>
      <c r="K245" s="17">
        <f t="shared" si="19"/>
        <v>0</v>
      </c>
      <c r="U245" s="17">
        <f t="shared" si="20"/>
        <v>0</v>
      </c>
      <c r="AA245" s="17">
        <f t="shared" si="21"/>
        <v>0</v>
      </c>
      <c r="AC245" s="33">
        <f t="shared" si="22"/>
        <v>0</v>
      </c>
    </row>
    <row r="246" spans="1:29">
      <c r="A246" s="34"/>
      <c r="B246" s="34"/>
      <c r="C246" s="34"/>
      <c r="D246" s="34"/>
      <c r="K246" s="17">
        <f>+Q246-M246-O246</f>
        <v>0</v>
      </c>
      <c r="U246" s="17">
        <f>Y246-W246-S246</f>
        <v>0</v>
      </c>
      <c r="AA246" s="17">
        <f t="shared" si="21"/>
        <v>0</v>
      </c>
      <c r="AC246" s="33">
        <f t="shared" si="22"/>
        <v>0</v>
      </c>
    </row>
    <row r="247" spans="1:29">
      <c r="A247" s="34"/>
      <c r="B247" s="34"/>
      <c r="C247" s="34"/>
      <c r="D247" s="34"/>
      <c r="K247" s="17">
        <f t="shared" si="19"/>
        <v>0</v>
      </c>
      <c r="U247" s="17">
        <f t="shared" si="20"/>
        <v>0</v>
      </c>
      <c r="AA247" s="17">
        <f t="shared" si="21"/>
        <v>0</v>
      </c>
      <c r="AC247" s="33">
        <f t="shared" si="22"/>
        <v>0</v>
      </c>
    </row>
    <row r="248" spans="1:29">
      <c r="A248" s="30"/>
      <c r="B248" s="30"/>
      <c r="C248" s="30"/>
      <c r="D248" s="30"/>
      <c r="K248" s="17">
        <f t="shared" si="19"/>
        <v>0</v>
      </c>
      <c r="U248" s="17">
        <f t="shared" si="20"/>
        <v>0</v>
      </c>
      <c r="AA248" s="17">
        <f t="shared" si="21"/>
        <v>0</v>
      </c>
      <c r="AC248" s="17">
        <f t="shared" si="22"/>
        <v>0</v>
      </c>
    </row>
    <row r="249" spans="1:29">
      <c r="A249" s="34"/>
      <c r="B249" s="34"/>
      <c r="C249" s="34"/>
      <c r="D249" s="34"/>
      <c r="K249" s="17">
        <f t="shared" si="19"/>
        <v>0</v>
      </c>
      <c r="U249" s="17">
        <f t="shared" si="20"/>
        <v>0</v>
      </c>
      <c r="AA249" s="17">
        <f t="shared" si="21"/>
        <v>0</v>
      </c>
      <c r="AC249" s="33">
        <f t="shared" si="22"/>
        <v>0</v>
      </c>
    </row>
    <row r="250" spans="1:29">
      <c r="A250" s="34"/>
      <c r="B250" s="34"/>
      <c r="C250" s="34"/>
      <c r="D250" s="34"/>
      <c r="K250" s="17">
        <f t="shared" si="19"/>
        <v>0</v>
      </c>
      <c r="U250" s="17">
        <f t="shared" si="20"/>
        <v>0</v>
      </c>
      <c r="AA250" s="17">
        <f t="shared" si="21"/>
        <v>0</v>
      </c>
      <c r="AC250" s="33">
        <f t="shared" si="22"/>
        <v>0</v>
      </c>
    </row>
    <row r="251" spans="1:29">
      <c r="A251" s="34"/>
      <c r="B251" s="34"/>
      <c r="C251" s="34"/>
      <c r="D251" s="34"/>
      <c r="K251" s="17">
        <f t="shared" si="19"/>
        <v>0</v>
      </c>
      <c r="U251" s="17">
        <f t="shared" si="20"/>
        <v>0</v>
      </c>
      <c r="AA251" s="17">
        <f t="shared" si="21"/>
        <v>0</v>
      </c>
      <c r="AC251" s="33">
        <f t="shared" si="22"/>
        <v>0</v>
      </c>
    </row>
    <row r="252" spans="1:29">
      <c r="A252" s="34"/>
      <c r="B252" s="34"/>
      <c r="C252" s="34"/>
      <c r="D252" s="34"/>
      <c r="K252" s="17">
        <f t="shared" si="19"/>
        <v>0</v>
      </c>
      <c r="U252" s="17">
        <f t="shared" si="20"/>
        <v>0</v>
      </c>
      <c r="AA252" s="17">
        <f t="shared" si="21"/>
        <v>0</v>
      </c>
      <c r="AC252" s="33">
        <f t="shared" si="22"/>
        <v>0</v>
      </c>
    </row>
    <row r="253" spans="1:29">
      <c r="A253" s="34"/>
      <c r="B253" s="34"/>
      <c r="C253" s="34"/>
      <c r="D253" s="34"/>
      <c r="K253" s="17">
        <f t="shared" si="19"/>
        <v>0</v>
      </c>
      <c r="U253" s="17">
        <f t="shared" si="20"/>
        <v>0</v>
      </c>
      <c r="AA253" s="17">
        <f t="shared" si="21"/>
        <v>0</v>
      </c>
      <c r="AC253" s="33">
        <f t="shared" si="22"/>
        <v>0</v>
      </c>
    </row>
    <row r="254" spans="1:29">
      <c r="A254" s="34"/>
      <c r="B254" s="34"/>
      <c r="C254" s="34"/>
      <c r="D254" s="34"/>
      <c r="K254" s="17">
        <f t="shared" si="19"/>
        <v>0</v>
      </c>
      <c r="U254" s="17">
        <f t="shared" si="20"/>
        <v>0</v>
      </c>
      <c r="AA254" s="17">
        <f t="shared" si="21"/>
        <v>0</v>
      </c>
      <c r="AC254" s="33">
        <f t="shared" si="22"/>
        <v>0</v>
      </c>
    </row>
    <row r="255" spans="1:29">
      <c r="A255" s="34"/>
      <c r="B255" s="34"/>
      <c r="C255" s="34"/>
      <c r="D255" s="34"/>
      <c r="K255" s="17">
        <f t="shared" si="19"/>
        <v>0</v>
      </c>
      <c r="U255" s="17">
        <f t="shared" si="20"/>
        <v>0</v>
      </c>
      <c r="AA255" s="17">
        <f t="shared" si="21"/>
        <v>0</v>
      </c>
      <c r="AC255" s="33">
        <f t="shared" si="22"/>
        <v>0</v>
      </c>
    </row>
    <row r="256" spans="1:29">
      <c r="A256" s="34"/>
      <c r="B256" s="34"/>
      <c r="C256" s="34"/>
      <c r="D256" s="34"/>
      <c r="K256" s="17">
        <f t="shared" si="19"/>
        <v>0</v>
      </c>
      <c r="U256" s="17">
        <f t="shared" si="20"/>
        <v>0</v>
      </c>
      <c r="AA256" s="17">
        <f t="shared" si="21"/>
        <v>0</v>
      </c>
      <c r="AC256" s="33">
        <f t="shared" si="22"/>
        <v>0</v>
      </c>
    </row>
    <row r="257" spans="1:29">
      <c r="A257" s="34"/>
      <c r="B257" s="34"/>
      <c r="C257" s="34"/>
      <c r="D257" s="34"/>
      <c r="K257" s="17">
        <f t="shared" si="19"/>
        <v>0</v>
      </c>
      <c r="U257" s="17">
        <f t="shared" si="20"/>
        <v>0</v>
      </c>
      <c r="AA257" s="17">
        <f t="shared" si="21"/>
        <v>0</v>
      </c>
      <c r="AC257" s="33">
        <f t="shared" si="22"/>
        <v>0</v>
      </c>
    </row>
    <row r="258" spans="1:29">
      <c r="A258" s="34"/>
      <c r="B258" s="34"/>
      <c r="C258" s="34"/>
      <c r="D258" s="34"/>
      <c r="K258" s="17">
        <f t="shared" si="19"/>
        <v>0</v>
      </c>
      <c r="U258" s="17">
        <f t="shared" si="20"/>
        <v>0</v>
      </c>
      <c r="AA258" s="17">
        <f t="shared" si="21"/>
        <v>0</v>
      </c>
      <c r="AC258" s="33">
        <f t="shared" si="22"/>
        <v>0</v>
      </c>
    </row>
    <row r="259" spans="1:29">
      <c r="A259" s="34"/>
      <c r="B259" s="34"/>
      <c r="C259" s="34"/>
      <c r="D259" s="34"/>
      <c r="K259" s="17">
        <f t="shared" si="19"/>
        <v>0</v>
      </c>
      <c r="U259" s="17">
        <f t="shared" si="20"/>
        <v>0</v>
      </c>
      <c r="AA259" s="17">
        <f t="shared" si="21"/>
        <v>0</v>
      </c>
      <c r="AC259" s="33">
        <f t="shared" si="22"/>
        <v>0</v>
      </c>
    </row>
    <row r="260" spans="1:29">
      <c r="A260" s="34"/>
      <c r="B260" s="34"/>
      <c r="C260" s="34"/>
      <c r="D260" s="34"/>
      <c r="K260" s="17">
        <f t="shared" si="19"/>
        <v>0</v>
      </c>
      <c r="U260" s="17">
        <f t="shared" si="20"/>
        <v>0</v>
      </c>
      <c r="AA260" s="17">
        <f t="shared" si="21"/>
        <v>0</v>
      </c>
      <c r="AC260" s="33">
        <f t="shared" si="22"/>
        <v>0</v>
      </c>
    </row>
    <row r="261" spans="1:29">
      <c r="A261" s="34"/>
      <c r="B261" s="34"/>
      <c r="C261" s="34"/>
      <c r="D261" s="34"/>
      <c r="K261" s="17">
        <f t="shared" si="19"/>
        <v>0</v>
      </c>
      <c r="U261" s="17">
        <f t="shared" si="20"/>
        <v>0</v>
      </c>
      <c r="AA261" s="17">
        <f t="shared" si="21"/>
        <v>0</v>
      </c>
      <c r="AC261" s="33">
        <f t="shared" si="22"/>
        <v>0</v>
      </c>
    </row>
    <row r="262" spans="1:29">
      <c r="A262" s="34"/>
      <c r="B262" s="34"/>
      <c r="C262" s="34"/>
      <c r="D262" s="34"/>
      <c r="K262" s="17">
        <f t="shared" si="19"/>
        <v>0</v>
      </c>
      <c r="U262" s="17">
        <f t="shared" si="20"/>
        <v>0</v>
      </c>
      <c r="AA262" s="17">
        <f t="shared" si="21"/>
        <v>0</v>
      </c>
      <c r="AC262" s="33">
        <f t="shared" si="22"/>
        <v>0</v>
      </c>
    </row>
    <row r="263" spans="1:29">
      <c r="A263" s="34"/>
      <c r="B263" s="34"/>
      <c r="C263" s="34"/>
      <c r="D263" s="34"/>
      <c r="K263" s="17">
        <f t="shared" si="19"/>
        <v>0</v>
      </c>
      <c r="U263" s="17">
        <f t="shared" si="20"/>
        <v>0</v>
      </c>
      <c r="AA263" s="17">
        <f t="shared" si="21"/>
        <v>0</v>
      </c>
      <c r="AC263" s="33">
        <f t="shared" si="22"/>
        <v>0</v>
      </c>
    </row>
    <row r="264" spans="1:29">
      <c r="A264" s="34"/>
      <c r="B264" s="34"/>
      <c r="C264" s="34"/>
      <c r="D264" s="34"/>
      <c r="K264" s="17">
        <f t="shared" si="19"/>
        <v>0</v>
      </c>
      <c r="U264" s="17">
        <f t="shared" si="20"/>
        <v>0</v>
      </c>
      <c r="AA264" s="17">
        <f t="shared" si="21"/>
        <v>0</v>
      </c>
      <c r="AC264" s="33">
        <f t="shared" si="22"/>
        <v>0</v>
      </c>
    </row>
    <row r="265" spans="1:29">
      <c r="A265" s="34"/>
      <c r="B265" s="34"/>
      <c r="C265" s="34"/>
      <c r="D265" s="34"/>
      <c r="K265" s="17">
        <f t="shared" si="19"/>
        <v>0</v>
      </c>
      <c r="U265" s="17">
        <f t="shared" si="20"/>
        <v>0</v>
      </c>
      <c r="AA265" s="17">
        <f t="shared" si="21"/>
        <v>0</v>
      </c>
      <c r="AC265" s="33">
        <f t="shared" si="22"/>
        <v>0</v>
      </c>
    </row>
    <row r="266" spans="1:29">
      <c r="A266" s="34"/>
      <c r="B266" s="34"/>
      <c r="C266" s="34"/>
      <c r="D266" s="34"/>
      <c r="K266" s="17">
        <v>0</v>
      </c>
      <c r="U266" s="17">
        <f t="shared" si="20"/>
        <v>0</v>
      </c>
      <c r="AA266" s="17">
        <f t="shared" si="21"/>
        <v>0</v>
      </c>
      <c r="AC266" s="33">
        <f t="shared" si="22"/>
        <v>0</v>
      </c>
    </row>
    <row r="267" spans="1:29">
      <c r="A267" s="34"/>
      <c r="B267" s="34"/>
      <c r="C267" s="34"/>
      <c r="D267" s="34"/>
      <c r="K267" s="17">
        <f t="shared" si="19"/>
        <v>0</v>
      </c>
      <c r="U267" s="17">
        <f t="shared" si="20"/>
        <v>0</v>
      </c>
      <c r="AA267" s="17">
        <f t="shared" si="21"/>
        <v>0</v>
      </c>
      <c r="AC267" s="33">
        <f t="shared" si="22"/>
        <v>0</v>
      </c>
    </row>
    <row r="268" spans="1:29">
      <c r="A268" s="34"/>
      <c r="B268" s="34"/>
      <c r="C268" s="34"/>
      <c r="D268" s="34"/>
      <c r="K268" s="17">
        <f t="shared" si="19"/>
        <v>0</v>
      </c>
      <c r="U268" s="17">
        <f t="shared" si="20"/>
        <v>0</v>
      </c>
      <c r="AA268" s="17">
        <f t="shared" si="21"/>
        <v>0</v>
      </c>
      <c r="AC268" s="33">
        <f t="shared" si="22"/>
        <v>0</v>
      </c>
    </row>
    <row r="269" spans="1:29">
      <c r="A269" s="34"/>
      <c r="B269" s="34"/>
      <c r="C269" s="34"/>
      <c r="D269" s="34"/>
      <c r="K269" s="17">
        <f t="shared" si="19"/>
        <v>0</v>
      </c>
      <c r="U269" s="17">
        <f t="shared" si="20"/>
        <v>0</v>
      </c>
      <c r="AA269" s="17">
        <f t="shared" si="21"/>
        <v>0</v>
      </c>
      <c r="AC269" s="33">
        <f t="shared" si="22"/>
        <v>0</v>
      </c>
    </row>
    <row r="270" spans="1:29">
      <c r="A270" s="34"/>
      <c r="B270" s="34"/>
      <c r="C270" s="34"/>
      <c r="D270" s="34"/>
      <c r="K270" s="17">
        <f t="shared" si="19"/>
        <v>0</v>
      </c>
      <c r="U270" s="17">
        <f t="shared" si="20"/>
        <v>0</v>
      </c>
      <c r="AA270" s="17">
        <f t="shared" si="21"/>
        <v>0</v>
      </c>
      <c r="AC270" s="33">
        <f t="shared" si="22"/>
        <v>0</v>
      </c>
    </row>
    <row r="271" spans="1:29">
      <c r="A271" s="34"/>
      <c r="B271" s="34"/>
      <c r="C271" s="34"/>
      <c r="D271" s="34"/>
      <c r="K271" s="17">
        <f t="shared" ref="K271:K277" si="23">+Q271-M271-O271</f>
        <v>0</v>
      </c>
      <c r="U271" s="17">
        <f t="shared" si="20"/>
        <v>0</v>
      </c>
      <c r="AA271" s="17">
        <f t="shared" si="21"/>
        <v>0</v>
      </c>
      <c r="AC271" s="33">
        <f t="shared" si="22"/>
        <v>0</v>
      </c>
    </row>
    <row r="272" spans="1:29">
      <c r="A272" s="34"/>
      <c r="B272" s="34"/>
      <c r="C272" s="34"/>
      <c r="D272" s="34"/>
      <c r="K272" s="17">
        <f t="shared" si="23"/>
        <v>0</v>
      </c>
      <c r="U272" s="17">
        <f t="shared" si="20"/>
        <v>0</v>
      </c>
      <c r="AA272" s="17">
        <f t="shared" si="21"/>
        <v>0</v>
      </c>
      <c r="AC272" s="33">
        <f t="shared" si="22"/>
        <v>0</v>
      </c>
    </row>
    <row r="273" spans="1:29">
      <c r="A273" s="34"/>
      <c r="B273" s="34"/>
      <c r="C273" s="34"/>
      <c r="D273" s="34"/>
      <c r="K273" s="17">
        <f t="shared" si="23"/>
        <v>0</v>
      </c>
      <c r="U273" s="17">
        <f t="shared" si="20"/>
        <v>0</v>
      </c>
      <c r="AA273" s="17">
        <f t="shared" si="21"/>
        <v>0</v>
      </c>
      <c r="AC273" s="33">
        <f t="shared" si="22"/>
        <v>0</v>
      </c>
    </row>
    <row r="274" spans="1:29">
      <c r="A274" s="34"/>
      <c r="B274" s="34"/>
      <c r="C274" s="34"/>
      <c r="D274" s="34"/>
      <c r="K274" s="17">
        <f t="shared" si="23"/>
        <v>0</v>
      </c>
      <c r="U274" s="17">
        <f>Y274-W274-S274</f>
        <v>0</v>
      </c>
      <c r="AA274" s="17">
        <f t="shared" si="21"/>
        <v>0</v>
      </c>
      <c r="AC274" s="33">
        <f t="shared" si="22"/>
        <v>0</v>
      </c>
    </row>
    <row r="275" spans="1:29">
      <c r="A275" s="34"/>
      <c r="B275" s="34"/>
      <c r="C275" s="34"/>
      <c r="D275" s="34"/>
      <c r="K275" s="17">
        <f t="shared" si="23"/>
        <v>0</v>
      </c>
      <c r="U275" s="17">
        <f>Y275-W275-S275</f>
        <v>0</v>
      </c>
      <c r="AA275" s="17">
        <f t="shared" si="21"/>
        <v>0</v>
      </c>
      <c r="AC275" s="33">
        <f t="shared" si="22"/>
        <v>0</v>
      </c>
    </row>
    <row r="276" spans="1:29">
      <c r="A276" s="34"/>
      <c r="B276" s="34"/>
      <c r="C276" s="34"/>
      <c r="D276" s="34"/>
      <c r="K276" s="17">
        <f>+Q276-M276-O276</f>
        <v>0</v>
      </c>
      <c r="U276" s="17">
        <f>Y276-W276-S276</f>
        <v>0</v>
      </c>
      <c r="AA276" s="17">
        <f>+I276-Q276-Y276</f>
        <v>0</v>
      </c>
      <c r="AC276" s="33">
        <f>+E276+G276+-K276-M276-S276-U276-W276-O276</f>
        <v>0</v>
      </c>
    </row>
    <row r="277" spans="1:29">
      <c r="A277" s="34"/>
      <c r="B277" s="34"/>
      <c r="C277" s="34"/>
      <c r="D277" s="34"/>
      <c r="K277" s="17">
        <f t="shared" si="23"/>
        <v>0</v>
      </c>
      <c r="U277" s="17">
        <f>Y277-W277-S277</f>
        <v>0</v>
      </c>
      <c r="AA277" s="17">
        <f t="shared" si="21"/>
        <v>0</v>
      </c>
      <c r="AC277" s="33">
        <f t="shared" si="22"/>
        <v>0</v>
      </c>
    </row>
    <row r="280" spans="1:29">
      <c r="A280" s="34"/>
      <c r="B280" s="34"/>
      <c r="C280" s="34"/>
      <c r="D280" s="34"/>
      <c r="K280" s="17">
        <f t="shared" ref="K280:K343" si="24">+Q280-M280-O280</f>
        <v>0</v>
      </c>
      <c r="U280" s="17">
        <v>0</v>
      </c>
      <c r="AA280" s="17">
        <f t="shared" ref="AA280:AA343" si="25">+I280-Q280-Y280</f>
        <v>0</v>
      </c>
      <c r="AC280" s="33">
        <f t="shared" ref="AC280:AC343" si="26">+E280+G280+-K280-M280-S280-U280-W280-O280</f>
        <v>0</v>
      </c>
    </row>
    <row r="281" spans="1:29" s="33" customFormat="1">
      <c r="A281" s="31"/>
      <c r="B281" s="31"/>
      <c r="C281" s="31"/>
      <c r="D281" s="31"/>
      <c r="K281" s="33">
        <f>+Q281-M281-O281</f>
        <v>0</v>
      </c>
      <c r="U281" s="33">
        <f>Y281-W281-S281</f>
        <v>0</v>
      </c>
      <c r="AA281" s="33">
        <f>+I281-Q281-Y281</f>
        <v>0</v>
      </c>
      <c r="AC281" s="33">
        <f>+E281+G281+-K281-M281-S281-U281-W281-O281</f>
        <v>0</v>
      </c>
    </row>
    <row r="282" spans="1:29">
      <c r="A282" s="30"/>
      <c r="B282" s="30"/>
      <c r="C282" s="30"/>
      <c r="D282" s="30"/>
      <c r="K282" s="17">
        <f>+Q282-M282-O282</f>
        <v>0</v>
      </c>
      <c r="U282" s="17">
        <f>Y282-W282-S282</f>
        <v>0</v>
      </c>
      <c r="AA282" s="17">
        <f>+I282-Q282-Y282</f>
        <v>0</v>
      </c>
      <c r="AC282" s="17">
        <f>+E282+G282+-K282-M282-S282-U282-W282-O282</f>
        <v>0</v>
      </c>
    </row>
    <row r="283" spans="1:29">
      <c r="A283" s="34"/>
      <c r="B283" s="34"/>
      <c r="C283" s="34"/>
      <c r="D283" s="34"/>
      <c r="K283" s="17">
        <f>+Q283-M283-O283</f>
        <v>0</v>
      </c>
      <c r="U283" s="17">
        <f>Y283-W283-S283</f>
        <v>0</v>
      </c>
      <c r="AA283" s="17">
        <f>+I283-Q283-Y283</f>
        <v>0</v>
      </c>
      <c r="AC283" s="33">
        <f>+E283+G283+-K283-M283-S283-U283-W283-O283</f>
        <v>0</v>
      </c>
    </row>
    <row r="284" spans="1:29">
      <c r="A284" s="34"/>
      <c r="B284" s="34"/>
      <c r="C284" s="34"/>
      <c r="D284" s="34"/>
      <c r="K284" s="17">
        <f>+Q284-M284-O284</f>
        <v>0</v>
      </c>
      <c r="U284" s="17">
        <f>Y284-W284-S284</f>
        <v>0</v>
      </c>
      <c r="AA284" s="17">
        <f>+I284-Q284-Y284</f>
        <v>0</v>
      </c>
      <c r="AC284" s="33">
        <f>+E284+G284+-K284-M284-S284-U284-W284-O284</f>
        <v>0</v>
      </c>
    </row>
    <row r="285" spans="1:29">
      <c r="A285" s="30"/>
      <c r="B285" s="30"/>
      <c r="C285" s="30"/>
      <c r="D285" s="30"/>
      <c r="K285" s="17">
        <f t="shared" si="24"/>
        <v>0</v>
      </c>
      <c r="U285" s="17">
        <f t="shared" ref="U285:U345" si="27">Y285-W285-S285</f>
        <v>0</v>
      </c>
      <c r="AA285" s="17">
        <f t="shared" si="25"/>
        <v>0</v>
      </c>
      <c r="AC285" s="17">
        <f t="shared" si="26"/>
        <v>0</v>
      </c>
    </row>
    <row r="286" spans="1:29">
      <c r="A286" s="34"/>
      <c r="B286" s="34"/>
      <c r="C286" s="34"/>
      <c r="D286" s="34"/>
      <c r="K286" s="17">
        <f t="shared" si="24"/>
        <v>0</v>
      </c>
      <c r="U286" s="17">
        <f t="shared" si="27"/>
        <v>0</v>
      </c>
      <c r="AA286" s="17">
        <f t="shared" si="25"/>
        <v>0</v>
      </c>
      <c r="AC286" s="33">
        <f t="shared" si="26"/>
        <v>0</v>
      </c>
    </row>
    <row r="287" spans="1:29">
      <c r="A287" s="34"/>
      <c r="B287" s="34"/>
      <c r="C287" s="34"/>
      <c r="D287" s="34"/>
      <c r="K287" s="17">
        <f t="shared" si="24"/>
        <v>0</v>
      </c>
      <c r="U287" s="17">
        <f t="shared" si="27"/>
        <v>0</v>
      </c>
      <c r="AA287" s="17">
        <f t="shared" si="25"/>
        <v>0</v>
      </c>
      <c r="AC287" s="33">
        <f t="shared" si="26"/>
        <v>0</v>
      </c>
    </row>
    <row r="288" spans="1:29">
      <c r="A288" s="34"/>
      <c r="B288" s="34"/>
      <c r="C288" s="34"/>
      <c r="D288" s="34"/>
      <c r="K288" s="17">
        <f t="shared" si="24"/>
        <v>0</v>
      </c>
      <c r="U288" s="17">
        <f t="shared" si="27"/>
        <v>0</v>
      </c>
      <c r="AA288" s="17">
        <f t="shared" si="25"/>
        <v>0</v>
      </c>
      <c r="AC288" s="33">
        <f t="shared" si="26"/>
        <v>0</v>
      </c>
    </row>
    <row r="289" spans="1:29">
      <c r="A289" s="34"/>
      <c r="B289" s="34"/>
      <c r="C289" s="34"/>
      <c r="D289" s="34"/>
      <c r="K289" s="17">
        <f t="shared" si="24"/>
        <v>0</v>
      </c>
      <c r="U289" s="17">
        <f t="shared" si="27"/>
        <v>0</v>
      </c>
      <c r="AA289" s="17">
        <f t="shared" si="25"/>
        <v>0</v>
      </c>
      <c r="AC289" s="33">
        <f t="shared" si="26"/>
        <v>0</v>
      </c>
    </row>
    <row r="290" spans="1:29">
      <c r="A290" s="34"/>
      <c r="B290" s="34"/>
      <c r="C290" s="34"/>
      <c r="D290" s="34"/>
      <c r="K290" s="17">
        <f>+Q290-M290-O290</f>
        <v>0</v>
      </c>
      <c r="U290" s="17">
        <f t="shared" si="27"/>
        <v>0</v>
      </c>
      <c r="AA290" s="17">
        <f t="shared" si="25"/>
        <v>0</v>
      </c>
      <c r="AC290" s="33">
        <f t="shared" si="26"/>
        <v>0</v>
      </c>
    </row>
    <row r="291" spans="1:29">
      <c r="A291" s="34"/>
      <c r="B291" s="34"/>
      <c r="C291" s="34"/>
      <c r="D291" s="34"/>
      <c r="K291" s="17">
        <f t="shared" si="24"/>
        <v>0</v>
      </c>
      <c r="U291" s="17">
        <f t="shared" si="27"/>
        <v>0</v>
      </c>
      <c r="AA291" s="17">
        <f t="shared" si="25"/>
        <v>0</v>
      </c>
      <c r="AC291" s="33">
        <f t="shared" si="26"/>
        <v>0</v>
      </c>
    </row>
    <row r="292" spans="1:29">
      <c r="A292" s="34"/>
      <c r="B292" s="34"/>
      <c r="C292" s="34"/>
      <c r="D292" s="34"/>
      <c r="K292" s="17">
        <f t="shared" si="24"/>
        <v>0</v>
      </c>
      <c r="U292" s="17">
        <f t="shared" si="27"/>
        <v>0</v>
      </c>
      <c r="AA292" s="17">
        <f t="shared" si="25"/>
        <v>0</v>
      </c>
      <c r="AC292" s="33">
        <f t="shared" si="26"/>
        <v>0</v>
      </c>
    </row>
    <row r="293" spans="1:29">
      <c r="A293" s="34"/>
      <c r="B293" s="34"/>
      <c r="C293" s="34"/>
      <c r="D293" s="34"/>
      <c r="K293" s="17">
        <f t="shared" si="24"/>
        <v>0</v>
      </c>
      <c r="U293" s="17">
        <f t="shared" si="27"/>
        <v>0</v>
      </c>
      <c r="AA293" s="17">
        <f t="shared" si="25"/>
        <v>0</v>
      </c>
      <c r="AC293" s="33">
        <f t="shared" si="26"/>
        <v>0</v>
      </c>
    </row>
    <row r="294" spans="1:29">
      <c r="A294" s="34"/>
      <c r="B294" s="34"/>
      <c r="C294" s="34"/>
      <c r="D294" s="34"/>
      <c r="K294" s="17">
        <f t="shared" si="24"/>
        <v>0</v>
      </c>
      <c r="U294" s="17">
        <f t="shared" si="27"/>
        <v>0</v>
      </c>
      <c r="AA294" s="17">
        <f t="shared" si="25"/>
        <v>0</v>
      </c>
      <c r="AC294" s="33">
        <f t="shared" si="26"/>
        <v>0</v>
      </c>
    </row>
    <row r="295" spans="1:29">
      <c r="A295" s="34"/>
      <c r="B295" s="34"/>
      <c r="C295" s="34"/>
      <c r="D295" s="34"/>
      <c r="K295" s="17">
        <f t="shared" si="24"/>
        <v>0</v>
      </c>
      <c r="U295" s="17">
        <f t="shared" si="27"/>
        <v>0</v>
      </c>
      <c r="AA295" s="17">
        <f t="shared" si="25"/>
        <v>0</v>
      </c>
      <c r="AC295" s="33">
        <f t="shared" si="26"/>
        <v>0</v>
      </c>
    </row>
    <row r="296" spans="1:29">
      <c r="A296" s="34"/>
      <c r="B296" s="34"/>
      <c r="C296" s="34"/>
      <c r="D296" s="34"/>
      <c r="K296" s="17">
        <f t="shared" si="24"/>
        <v>0</v>
      </c>
      <c r="U296" s="17">
        <f t="shared" si="27"/>
        <v>0</v>
      </c>
      <c r="AA296" s="17">
        <f>+I296-Q296-Y296</f>
        <v>0</v>
      </c>
      <c r="AC296" s="33">
        <f t="shared" si="26"/>
        <v>0</v>
      </c>
    </row>
    <row r="297" spans="1:29">
      <c r="A297" s="34"/>
      <c r="B297" s="34"/>
      <c r="C297" s="34"/>
      <c r="D297" s="34"/>
      <c r="K297" s="17">
        <f t="shared" si="24"/>
        <v>0</v>
      </c>
      <c r="U297" s="17">
        <f t="shared" si="27"/>
        <v>0</v>
      </c>
      <c r="AA297" s="17">
        <f t="shared" si="25"/>
        <v>0</v>
      </c>
      <c r="AC297" s="33">
        <f t="shared" si="26"/>
        <v>0</v>
      </c>
    </row>
    <row r="298" spans="1:29">
      <c r="A298" s="34"/>
      <c r="B298" s="34"/>
      <c r="C298" s="34"/>
      <c r="D298" s="34"/>
      <c r="K298" s="17">
        <f t="shared" si="24"/>
        <v>0</v>
      </c>
      <c r="U298" s="17">
        <f t="shared" si="27"/>
        <v>0</v>
      </c>
      <c r="AA298" s="17">
        <f>+I298-Q298-Y298</f>
        <v>0</v>
      </c>
      <c r="AC298" s="33">
        <f t="shared" si="26"/>
        <v>0</v>
      </c>
    </row>
    <row r="299" spans="1:29">
      <c r="A299" s="34"/>
      <c r="B299" s="34"/>
      <c r="C299" s="34"/>
      <c r="D299" s="34"/>
      <c r="K299" s="17">
        <f t="shared" si="24"/>
        <v>0</v>
      </c>
      <c r="U299" s="17">
        <f t="shared" si="27"/>
        <v>0</v>
      </c>
      <c r="AA299" s="17">
        <f t="shared" si="25"/>
        <v>0</v>
      </c>
      <c r="AC299" s="33">
        <f t="shared" si="26"/>
        <v>0</v>
      </c>
    </row>
    <row r="300" spans="1:29">
      <c r="A300" s="34"/>
      <c r="B300" s="34"/>
      <c r="C300" s="34"/>
      <c r="D300" s="34"/>
      <c r="K300" s="17">
        <f t="shared" si="24"/>
        <v>0</v>
      </c>
      <c r="U300" s="17">
        <f t="shared" si="27"/>
        <v>0</v>
      </c>
      <c r="AA300" s="17">
        <f t="shared" si="25"/>
        <v>0</v>
      </c>
      <c r="AC300" s="33">
        <f t="shared" si="26"/>
        <v>0</v>
      </c>
    </row>
    <row r="301" spans="1:29">
      <c r="A301" s="34"/>
      <c r="B301" s="34"/>
      <c r="C301" s="34"/>
      <c r="D301" s="34"/>
      <c r="K301" s="17">
        <f t="shared" si="24"/>
        <v>0</v>
      </c>
      <c r="U301" s="17">
        <f t="shared" si="27"/>
        <v>0</v>
      </c>
      <c r="AA301" s="17">
        <f t="shared" si="25"/>
        <v>0</v>
      </c>
      <c r="AC301" s="33">
        <f t="shared" si="26"/>
        <v>0</v>
      </c>
    </row>
    <row r="302" spans="1:29">
      <c r="A302" s="34"/>
      <c r="B302" s="34"/>
      <c r="C302" s="34"/>
      <c r="D302" s="34"/>
      <c r="K302" s="17">
        <f t="shared" si="24"/>
        <v>0</v>
      </c>
      <c r="U302" s="17">
        <f t="shared" si="27"/>
        <v>0</v>
      </c>
      <c r="AA302" s="17">
        <f t="shared" si="25"/>
        <v>0</v>
      </c>
      <c r="AC302" s="33">
        <f t="shared" si="26"/>
        <v>0</v>
      </c>
    </row>
    <row r="303" spans="1:29">
      <c r="A303" s="34"/>
      <c r="B303" s="34"/>
      <c r="C303" s="34"/>
      <c r="D303" s="34"/>
      <c r="K303" s="17">
        <f t="shared" si="24"/>
        <v>0</v>
      </c>
      <c r="U303" s="17">
        <f t="shared" si="27"/>
        <v>0</v>
      </c>
      <c r="AA303" s="17">
        <f t="shared" si="25"/>
        <v>0</v>
      </c>
      <c r="AC303" s="33">
        <f t="shared" si="26"/>
        <v>0</v>
      </c>
    </row>
    <row r="304" spans="1:29">
      <c r="A304" s="34"/>
      <c r="B304" s="34"/>
      <c r="C304" s="34"/>
      <c r="D304" s="34"/>
      <c r="K304" s="17">
        <f t="shared" si="24"/>
        <v>0</v>
      </c>
      <c r="U304" s="17">
        <f t="shared" si="27"/>
        <v>0</v>
      </c>
      <c r="AA304" s="17">
        <f t="shared" si="25"/>
        <v>0</v>
      </c>
      <c r="AC304" s="33">
        <f t="shared" si="26"/>
        <v>0</v>
      </c>
    </row>
    <row r="305" spans="1:29">
      <c r="A305" s="34"/>
      <c r="B305" s="34"/>
      <c r="C305" s="34"/>
      <c r="D305" s="34"/>
      <c r="K305" s="17">
        <f t="shared" si="24"/>
        <v>0</v>
      </c>
      <c r="U305" s="17">
        <f t="shared" si="27"/>
        <v>0</v>
      </c>
      <c r="AA305" s="17">
        <f>+I305-Q305-Y305</f>
        <v>0</v>
      </c>
      <c r="AC305" s="33">
        <f t="shared" si="26"/>
        <v>0</v>
      </c>
    </row>
    <row r="306" spans="1:29">
      <c r="A306" s="34"/>
      <c r="B306" s="34"/>
      <c r="C306" s="34"/>
      <c r="D306" s="34"/>
      <c r="K306" s="17">
        <f t="shared" si="24"/>
        <v>0</v>
      </c>
      <c r="U306" s="17">
        <f t="shared" si="27"/>
        <v>0</v>
      </c>
      <c r="AA306" s="17">
        <f t="shared" si="25"/>
        <v>0</v>
      </c>
      <c r="AC306" s="33">
        <f t="shared" si="26"/>
        <v>0</v>
      </c>
    </row>
    <row r="307" spans="1:29">
      <c r="A307" s="34"/>
      <c r="B307" s="34"/>
      <c r="C307" s="34"/>
      <c r="D307" s="34"/>
      <c r="K307" s="17">
        <f t="shared" si="24"/>
        <v>0</v>
      </c>
      <c r="U307" s="17">
        <f t="shared" si="27"/>
        <v>0</v>
      </c>
      <c r="AA307" s="17">
        <f t="shared" si="25"/>
        <v>0</v>
      </c>
      <c r="AC307" s="33">
        <f t="shared" si="26"/>
        <v>0</v>
      </c>
    </row>
    <row r="308" spans="1:29">
      <c r="A308" s="34"/>
      <c r="B308" s="34"/>
      <c r="C308" s="34"/>
      <c r="D308" s="34"/>
      <c r="K308" s="17">
        <f t="shared" si="24"/>
        <v>0</v>
      </c>
      <c r="U308" s="17">
        <f t="shared" si="27"/>
        <v>0</v>
      </c>
      <c r="AA308" s="17">
        <f t="shared" si="25"/>
        <v>0</v>
      </c>
      <c r="AC308" s="33">
        <f t="shared" si="26"/>
        <v>0</v>
      </c>
    </row>
    <row r="309" spans="1:29">
      <c r="A309" s="34"/>
      <c r="B309" s="34"/>
      <c r="C309" s="34"/>
      <c r="D309" s="34"/>
      <c r="K309" s="17">
        <f t="shared" si="24"/>
        <v>0</v>
      </c>
      <c r="U309" s="17">
        <f t="shared" si="27"/>
        <v>0</v>
      </c>
      <c r="AA309" s="17">
        <f t="shared" si="25"/>
        <v>0</v>
      </c>
      <c r="AC309" s="33">
        <f t="shared" si="26"/>
        <v>0</v>
      </c>
    </row>
    <row r="310" spans="1:29">
      <c r="A310" s="34"/>
      <c r="B310" s="34"/>
      <c r="C310" s="34"/>
      <c r="D310" s="34"/>
      <c r="K310" s="17">
        <f t="shared" si="24"/>
        <v>0</v>
      </c>
      <c r="U310" s="17">
        <f t="shared" si="27"/>
        <v>0</v>
      </c>
      <c r="AA310" s="17">
        <f t="shared" si="25"/>
        <v>0</v>
      </c>
      <c r="AC310" s="33">
        <f t="shared" si="26"/>
        <v>0</v>
      </c>
    </row>
    <row r="311" spans="1:29">
      <c r="A311" s="34"/>
      <c r="B311" s="34"/>
      <c r="C311" s="34"/>
      <c r="D311" s="34"/>
      <c r="K311" s="17">
        <f t="shared" si="24"/>
        <v>0</v>
      </c>
      <c r="U311" s="17">
        <f t="shared" si="27"/>
        <v>0</v>
      </c>
      <c r="AA311" s="17">
        <f t="shared" si="25"/>
        <v>0</v>
      </c>
      <c r="AC311" s="33">
        <f t="shared" si="26"/>
        <v>0</v>
      </c>
    </row>
    <row r="312" spans="1:29">
      <c r="A312" s="34"/>
      <c r="B312" s="34"/>
      <c r="C312" s="34"/>
      <c r="D312" s="34"/>
      <c r="K312" s="17">
        <f t="shared" si="24"/>
        <v>0</v>
      </c>
      <c r="U312" s="17">
        <f t="shared" si="27"/>
        <v>0</v>
      </c>
      <c r="AA312" s="17">
        <f t="shared" si="25"/>
        <v>0</v>
      </c>
      <c r="AC312" s="33">
        <f t="shared" si="26"/>
        <v>0</v>
      </c>
    </row>
    <row r="313" spans="1:29">
      <c r="A313" s="34"/>
      <c r="B313" s="34"/>
      <c r="C313" s="34"/>
      <c r="D313" s="34"/>
      <c r="K313" s="17">
        <f t="shared" si="24"/>
        <v>0</v>
      </c>
      <c r="U313" s="17">
        <f t="shared" si="27"/>
        <v>0</v>
      </c>
      <c r="AA313" s="17">
        <f t="shared" si="25"/>
        <v>0</v>
      </c>
      <c r="AC313" s="33">
        <f t="shared" si="26"/>
        <v>0</v>
      </c>
    </row>
    <row r="314" spans="1:29">
      <c r="A314" s="34"/>
      <c r="B314" s="34"/>
      <c r="C314" s="34"/>
      <c r="D314" s="34"/>
      <c r="K314" s="17">
        <f t="shared" si="24"/>
        <v>0</v>
      </c>
      <c r="U314" s="17">
        <f t="shared" si="27"/>
        <v>0</v>
      </c>
      <c r="AA314" s="17">
        <f t="shared" si="25"/>
        <v>0</v>
      </c>
      <c r="AC314" s="33">
        <f t="shared" si="26"/>
        <v>0</v>
      </c>
    </row>
    <row r="315" spans="1:29">
      <c r="A315" s="34"/>
      <c r="B315" s="34"/>
      <c r="C315" s="34"/>
      <c r="D315" s="34"/>
      <c r="K315" s="17">
        <f t="shared" si="24"/>
        <v>0</v>
      </c>
      <c r="U315" s="17">
        <f t="shared" si="27"/>
        <v>0</v>
      </c>
      <c r="AA315" s="17">
        <f t="shared" si="25"/>
        <v>0</v>
      </c>
      <c r="AC315" s="33">
        <f t="shared" si="26"/>
        <v>0</v>
      </c>
    </row>
    <row r="316" spans="1:29">
      <c r="A316" s="34"/>
      <c r="B316" s="34"/>
      <c r="C316" s="34"/>
      <c r="D316" s="34"/>
      <c r="K316" s="17">
        <f t="shared" si="24"/>
        <v>0</v>
      </c>
      <c r="U316" s="17">
        <f t="shared" si="27"/>
        <v>0</v>
      </c>
      <c r="AA316" s="17">
        <f t="shared" si="25"/>
        <v>0</v>
      </c>
      <c r="AC316" s="33">
        <f t="shared" si="26"/>
        <v>0</v>
      </c>
    </row>
    <row r="317" spans="1:29">
      <c r="A317" s="34"/>
      <c r="B317" s="34"/>
      <c r="C317" s="34"/>
      <c r="D317" s="34"/>
      <c r="K317" s="17">
        <f t="shared" si="24"/>
        <v>0</v>
      </c>
      <c r="U317" s="17">
        <f t="shared" si="27"/>
        <v>0</v>
      </c>
      <c r="AA317" s="17">
        <f t="shared" si="25"/>
        <v>0</v>
      </c>
      <c r="AC317" s="33">
        <f t="shared" si="26"/>
        <v>0</v>
      </c>
    </row>
    <row r="318" spans="1:29">
      <c r="A318" s="34"/>
      <c r="B318" s="34"/>
      <c r="C318" s="34"/>
      <c r="D318" s="34"/>
      <c r="K318" s="17">
        <f t="shared" si="24"/>
        <v>0</v>
      </c>
      <c r="U318" s="17">
        <f t="shared" si="27"/>
        <v>0</v>
      </c>
      <c r="AA318" s="17">
        <f t="shared" si="25"/>
        <v>0</v>
      </c>
      <c r="AC318" s="33">
        <f t="shared" si="26"/>
        <v>0</v>
      </c>
    </row>
    <row r="319" spans="1:29">
      <c r="A319" s="34"/>
      <c r="B319" s="34"/>
      <c r="C319" s="34"/>
      <c r="D319" s="34"/>
      <c r="K319" s="17">
        <f t="shared" si="24"/>
        <v>0</v>
      </c>
      <c r="U319" s="17">
        <f t="shared" si="27"/>
        <v>0</v>
      </c>
      <c r="AA319" s="17">
        <f>+I319-Q319-Y319</f>
        <v>0</v>
      </c>
      <c r="AC319" s="33">
        <f t="shared" si="26"/>
        <v>0</v>
      </c>
    </row>
    <row r="320" spans="1:29">
      <c r="A320" s="34"/>
      <c r="B320" s="34"/>
      <c r="C320" s="34"/>
      <c r="D320" s="34"/>
      <c r="K320" s="17">
        <f t="shared" si="24"/>
        <v>0</v>
      </c>
      <c r="U320" s="17">
        <f t="shared" si="27"/>
        <v>0</v>
      </c>
      <c r="AA320" s="17">
        <f t="shared" si="25"/>
        <v>0</v>
      </c>
      <c r="AC320" s="33">
        <f t="shared" si="26"/>
        <v>0</v>
      </c>
    </row>
    <row r="321" spans="1:29">
      <c r="A321" s="34"/>
      <c r="B321" s="34"/>
      <c r="C321" s="34"/>
      <c r="D321" s="34"/>
      <c r="K321" s="17">
        <f t="shared" si="24"/>
        <v>0</v>
      </c>
      <c r="U321" s="17">
        <f t="shared" si="27"/>
        <v>0</v>
      </c>
      <c r="AA321" s="17">
        <f t="shared" si="25"/>
        <v>0</v>
      </c>
      <c r="AC321" s="33">
        <f t="shared" si="26"/>
        <v>0</v>
      </c>
    </row>
    <row r="322" spans="1:29">
      <c r="A322" s="34"/>
      <c r="B322" s="34"/>
      <c r="C322" s="34"/>
      <c r="D322" s="34"/>
      <c r="K322" s="17">
        <f t="shared" si="24"/>
        <v>0</v>
      </c>
      <c r="U322" s="17">
        <f t="shared" si="27"/>
        <v>0</v>
      </c>
      <c r="AA322" s="17">
        <f t="shared" si="25"/>
        <v>0</v>
      </c>
      <c r="AC322" s="33">
        <f t="shared" si="26"/>
        <v>0</v>
      </c>
    </row>
    <row r="323" spans="1:29">
      <c r="A323" s="34"/>
      <c r="B323" s="34"/>
      <c r="C323" s="34"/>
      <c r="D323" s="34"/>
      <c r="K323" s="17">
        <f t="shared" si="24"/>
        <v>0</v>
      </c>
      <c r="U323" s="17">
        <f t="shared" si="27"/>
        <v>0</v>
      </c>
      <c r="AA323" s="17">
        <f t="shared" si="25"/>
        <v>0</v>
      </c>
      <c r="AC323" s="33">
        <f t="shared" si="26"/>
        <v>0</v>
      </c>
    </row>
    <row r="324" spans="1:29">
      <c r="A324" s="34"/>
      <c r="B324" s="34"/>
      <c r="C324" s="34"/>
      <c r="D324" s="34"/>
      <c r="K324" s="17">
        <f t="shared" si="24"/>
        <v>0</v>
      </c>
      <c r="U324" s="17">
        <f t="shared" si="27"/>
        <v>0</v>
      </c>
      <c r="AA324" s="17">
        <f t="shared" si="25"/>
        <v>0</v>
      </c>
      <c r="AC324" s="33">
        <f t="shared" si="26"/>
        <v>0</v>
      </c>
    </row>
    <row r="325" spans="1:29">
      <c r="A325" s="34"/>
      <c r="B325" s="34"/>
      <c r="C325" s="34"/>
      <c r="D325" s="34"/>
      <c r="K325" s="17">
        <f t="shared" si="24"/>
        <v>0</v>
      </c>
      <c r="U325" s="17">
        <f t="shared" si="27"/>
        <v>0</v>
      </c>
      <c r="AA325" s="17">
        <f t="shared" si="25"/>
        <v>0</v>
      </c>
      <c r="AC325" s="33">
        <f t="shared" si="26"/>
        <v>0</v>
      </c>
    </row>
    <row r="326" spans="1:29">
      <c r="A326" s="34"/>
      <c r="B326" s="34"/>
      <c r="C326" s="34"/>
      <c r="D326" s="34"/>
      <c r="K326" s="17">
        <f t="shared" si="24"/>
        <v>0</v>
      </c>
      <c r="U326" s="17">
        <f t="shared" si="27"/>
        <v>0</v>
      </c>
      <c r="AA326" s="17">
        <f t="shared" si="25"/>
        <v>0</v>
      </c>
      <c r="AC326" s="33">
        <f t="shared" si="26"/>
        <v>0</v>
      </c>
    </row>
    <row r="327" spans="1:29">
      <c r="A327" s="30"/>
      <c r="B327" s="30"/>
      <c r="C327" s="30"/>
      <c r="D327" s="30"/>
      <c r="K327" s="17">
        <f t="shared" si="24"/>
        <v>0</v>
      </c>
      <c r="U327" s="17">
        <f t="shared" si="27"/>
        <v>0</v>
      </c>
      <c r="AA327" s="17">
        <f t="shared" si="25"/>
        <v>0</v>
      </c>
      <c r="AC327" s="17">
        <f t="shared" si="26"/>
        <v>0</v>
      </c>
    </row>
    <row r="328" spans="1:29">
      <c r="A328" s="34"/>
      <c r="B328" s="34"/>
      <c r="C328" s="34"/>
      <c r="D328" s="34"/>
      <c r="K328" s="17">
        <f t="shared" si="24"/>
        <v>0</v>
      </c>
      <c r="U328" s="17">
        <f t="shared" si="27"/>
        <v>0</v>
      </c>
      <c r="AA328" s="17">
        <f t="shared" si="25"/>
        <v>0</v>
      </c>
      <c r="AC328" s="33">
        <f t="shared" si="26"/>
        <v>0</v>
      </c>
    </row>
    <row r="329" spans="1:29">
      <c r="A329" s="34"/>
      <c r="B329" s="34"/>
      <c r="C329" s="34"/>
      <c r="D329" s="34"/>
      <c r="K329" s="17">
        <f t="shared" si="24"/>
        <v>0</v>
      </c>
      <c r="U329" s="17">
        <f t="shared" si="27"/>
        <v>0</v>
      </c>
      <c r="AA329" s="17">
        <f t="shared" si="25"/>
        <v>0</v>
      </c>
      <c r="AC329" s="33">
        <f t="shared" si="26"/>
        <v>0</v>
      </c>
    </row>
    <row r="330" spans="1:29">
      <c r="A330" s="34"/>
      <c r="B330" s="34"/>
      <c r="C330" s="34"/>
      <c r="D330" s="34"/>
      <c r="K330" s="17">
        <f t="shared" si="24"/>
        <v>0</v>
      </c>
      <c r="U330" s="17">
        <f t="shared" si="27"/>
        <v>0</v>
      </c>
      <c r="AA330" s="17">
        <f t="shared" si="25"/>
        <v>0</v>
      </c>
      <c r="AC330" s="33">
        <f t="shared" si="26"/>
        <v>0</v>
      </c>
    </row>
    <row r="331" spans="1:29">
      <c r="A331" s="34"/>
      <c r="B331" s="34"/>
      <c r="C331" s="34"/>
      <c r="D331" s="34"/>
      <c r="K331" s="17">
        <f t="shared" si="24"/>
        <v>0</v>
      </c>
      <c r="U331" s="17">
        <f t="shared" si="27"/>
        <v>0</v>
      </c>
      <c r="AA331" s="17">
        <f t="shared" si="25"/>
        <v>0</v>
      </c>
      <c r="AC331" s="33">
        <f t="shared" si="26"/>
        <v>0</v>
      </c>
    </row>
    <row r="332" spans="1:29">
      <c r="A332" s="34"/>
      <c r="B332" s="34"/>
      <c r="C332" s="34"/>
      <c r="D332" s="34"/>
      <c r="K332" s="17">
        <f t="shared" si="24"/>
        <v>0</v>
      </c>
      <c r="U332" s="17">
        <f t="shared" si="27"/>
        <v>0</v>
      </c>
      <c r="AA332" s="17">
        <f t="shared" si="25"/>
        <v>0</v>
      </c>
      <c r="AC332" s="33">
        <f t="shared" si="26"/>
        <v>0</v>
      </c>
    </row>
    <row r="333" spans="1:29">
      <c r="A333" s="34"/>
      <c r="B333" s="34"/>
      <c r="C333" s="34"/>
      <c r="D333" s="34"/>
      <c r="K333" s="17">
        <f t="shared" si="24"/>
        <v>0</v>
      </c>
      <c r="U333" s="17">
        <f t="shared" si="27"/>
        <v>0</v>
      </c>
      <c r="AA333" s="17">
        <f t="shared" si="25"/>
        <v>0</v>
      </c>
      <c r="AC333" s="33">
        <f t="shared" si="26"/>
        <v>0</v>
      </c>
    </row>
    <row r="334" spans="1:29">
      <c r="A334" s="34"/>
      <c r="B334" s="34"/>
      <c r="C334" s="34"/>
      <c r="D334" s="34"/>
      <c r="K334" s="17">
        <f t="shared" si="24"/>
        <v>0</v>
      </c>
      <c r="U334" s="17">
        <f t="shared" si="27"/>
        <v>0</v>
      </c>
      <c r="AA334" s="17">
        <f t="shared" si="25"/>
        <v>0</v>
      </c>
      <c r="AC334" s="33">
        <f t="shared" si="26"/>
        <v>0</v>
      </c>
    </row>
    <row r="335" spans="1:29">
      <c r="A335" s="34"/>
      <c r="B335" s="34"/>
      <c r="C335" s="34"/>
      <c r="D335" s="34"/>
      <c r="K335" s="17">
        <f t="shared" si="24"/>
        <v>0</v>
      </c>
      <c r="U335" s="17">
        <f t="shared" si="27"/>
        <v>0</v>
      </c>
      <c r="AA335" s="17">
        <f t="shared" si="25"/>
        <v>0</v>
      </c>
      <c r="AC335" s="33">
        <f t="shared" si="26"/>
        <v>0</v>
      </c>
    </row>
    <row r="336" spans="1:29">
      <c r="A336" s="34"/>
      <c r="B336" s="34"/>
      <c r="C336" s="34"/>
      <c r="D336" s="34"/>
      <c r="K336" s="17">
        <f t="shared" si="24"/>
        <v>0</v>
      </c>
      <c r="U336" s="17">
        <f t="shared" si="27"/>
        <v>0</v>
      </c>
      <c r="AA336" s="17">
        <f t="shared" si="25"/>
        <v>0</v>
      </c>
      <c r="AC336" s="33">
        <f t="shared" si="26"/>
        <v>0</v>
      </c>
    </row>
    <row r="337" spans="1:29">
      <c r="A337" s="34"/>
      <c r="B337" s="34"/>
      <c r="C337" s="34"/>
      <c r="D337" s="34"/>
      <c r="K337" s="17">
        <f t="shared" si="24"/>
        <v>0</v>
      </c>
      <c r="U337" s="17">
        <f t="shared" si="27"/>
        <v>0</v>
      </c>
      <c r="AA337" s="17">
        <f t="shared" si="25"/>
        <v>0</v>
      </c>
      <c r="AC337" s="33">
        <f t="shared" si="26"/>
        <v>0</v>
      </c>
    </row>
    <row r="338" spans="1:29">
      <c r="A338" s="34"/>
      <c r="B338" s="34"/>
      <c r="C338" s="34"/>
      <c r="D338" s="34"/>
      <c r="K338" s="17">
        <f t="shared" si="24"/>
        <v>0</v>
      </c>
      <c r="U338" s="17">
        <f t="shared" si="27"/>
        <v>0</v>
      </c>
      <c r="AA338" s="17">
        <f t="shared" si="25"/>
        <v>0</v>
      </c>
      <c r="AC338" s="33">
        <f t="shared" si="26"/>
        <v>0</v>
      </c>
    </row>
    <row r="339" spans="1:29">
      <c r="A339" s="34"/>
      <c r="B339" s="34"/>
      <c r="C339" s="34"/>
      <c r="D339" s="34"/>
      <c r="K339" s="17">
        <f t="shared" si="24"/>
        <v>0</v>
      </c>
      <c r="U339" s="17">
        <f t="shared" si="27"/>
        <v>0</v>
      </c>
      <c r="AA339" s="17">
        <f t="shared" si="25"/>
        <v>0</v>
      </c>
      <c r="AC339" s="33">
        <f t="shared" si="26"/>
        <v>0</v>
      </c>
    </row>
    <row r="340" spans="1:29">
      <c r="A340" s="34"/>
      <c r="B340" s="34"/>
      <c r="C340" s="34"/>
      <c r="D340" s="34"/>
      <c r="K340" s="17">
        <f t="shared" si="24"/>
        <v>0</v>
      </c>
      <c r="U340" s="17">
        <f t="shared" si="27"/>
        <v>0</v>
      </c>
      <c r="AA340" s="17">
        <f t="shared" si="25"/>
        <v>0</v>
      </c>
      <c r="AC340" s="33">
        <f t="shared" si="26"/>
        <v>0</v>
      </c>
    </row>
    <row r="341" spans="1:29">
      <c r="A341" s="30"/>
      <c r="B341" s="34"/>
      <c r="C341" s="34"/>
      <c r="D341" s="34"/>
      <c r="K341" s="17">
        <f t="shared" si="24"/>
        <v>0</v>
      </c>
      <c r="U341" s="17">
        <f t="shared" si="27"/>
        <v>0</v>
      </c>
      <c r="AA341" s="17">
        <f t="shared" si="25"/>
        <v>0</v>
      </c>
      <c r="AC341" s="33">
        <f t="shared" si="26"/>
        <v>0</v>
      </c>
    </row>
    <row r="342" spans="1:29">
      <c r="A342" s="34"/>
      <c r="B342" s="34"/>
      <c r="C342" s="34"/>
      <c r="D342" s="34"/>
      <c r="K342" s="17">
        <f t="shared" si="24"/>
        <v>0</v>
      </c>
      <c r="U342" s="17">
        <f t="shared" si="27"/>
        <v>0</v>
      </c>
      <c r="AA342" s="17">
        <f t="shared" si="25"/>
        <v>0</v>
      </c>
      <c r="AC342" s="33">
        <f t="shared" si="26"/>
        <v>0</v>
      </c>
    </row>
    <row r="343" spans="1:29">
      <c r="A343" s="34"/>
      <c r="B343" s="34"/>
      <c r="C343" s="34"/>
      <c r="D343" s="34"/>
      <c r="K343" s="17">
        <f t="shared" si="24"/>
        <v>0</v>
      </c>
      <c r="U343" s="17">
        <f t="shared" si="27"/>
        <v>0</v>
      </c>
      <c r="AA343" s="17">
        <f t="shared" si="25"/>
        <v>0</v>
      </c>
      <c r="AC343" s="33">
        <f t="shared" si="26"/>
        <v>0</v>
      </c>
    </row>
    <row r="344" spans="1:29">
      <c r="A344" s="34"/>
      <c r="B344" s="34"/>
      <c r="C344" s="34"/>
      <c r="D344" s="34"/>
      <c r="K344" s="17">
        <f t="shared" ref="K344:K345" si="28">+Q344-M344-O344</f>
        <v>0</v>
      </c>
      <c r="U344" s="17">
        <f t="shared" si="27"/>
        <v>0</v>
      </c>
      <c r="AA344" s="17">
        <f t="shared" ref="AA344:AA411" si="29">+I344-Q344-Y344</f>
        <v>0</v>
      </c>
      <c r="AC344" s="33">
        <f t="shared" ref="AC344:AC408" si="30">+E344+G344+-K344-M344-S344-U344-W344-O344</f>
        <v>0</v>
      </c>
    </row>
    <row r="345" spans="1:29">
      <c r="A345" s="34"/>
      <c r="B345" s="34"/>
      <c r="C345" s="34"/>
      <c r="D345" s="34"/>
      <c r="K345" s="17">
        <f t="shared" si="28"/>
        <v>0</v>
      </c>
      <c r="U345" s="17">
        <f t="shared" si="27"/>
        <v>0</v>
      </c>
      <c r="AA345" s="17">
        <f t="shared" si="29"/>
        <v>0</v>
      </c>
      <c r="AC345" s="33">
        <f t="shared" si="30"/>
        <v>0</v>
      </c>
    </row>
    <row r="348" spans="1:29" s="33" customFormat="1">
      <c r="A348" s="31"/>
      <c r="B348" s="31"/>
      <c r="C348" s="31"/>
      <c r="D348" s="31"/>
      <c r="K348" s="33">
        <f t="shared" ref="K348:K411" si="31">+Q348-M348-O348</f>
        <v>0</v>
      </c>
      <c r="U348" s="33">
        <f t="shared" ref="U348:U405" si="32">Y348-W348-S348</f>
        <v>0</v>
      </c>
      <c r="AA348" s="33">
        <f t="shared" ref="AA348:AA354" si="33">+I348-Q348-Y348</f>
        <v>0</v>
      </c>
      <c r="AC348" s="33">
        <f t="shared" ref="AC348:AC354" si="34">+E348+G348+-K348-M348-S348-U348-W348-O348</f>
        <v>0</v>
      </c>
    </row>
    <row r="349" spans="1:29">
      <c r="A349" s="34"/>
      <c r="B349" s="34"/>
      <c r="C349" s="34"/>
      <c r="D349" s="34"/>
      <c r="K349" s="17">
        <f t="shared" si="31"/>
        <v>0</v>
      </c>
      <c r="U349" s="17">
        <f t="shared" si="32"/>
        <v>0</v>
      </c>
      <c r="AA349" s="17">
        <f t="shared" si="33"/>
        <v>0</v>
      </c>
      <c r="AC349" s="33">
        <f t="shared" si="34"/>
        <v>0</v>
      </c>
    </row>
    <row r="350" spans="1:29">
      <c r="A350" s="34"/>
      <c r="B350" s="34"/>
      <c r="C350" s="34"/>
      <c r="D350" s="34"/>
      <c r="K350" s="17">
        <f t="shared" si="31"/>
        <v>0</v>
      </c>
      <c r="U350" s="17">
        <f t="shared" si="32"/>
        <v>0</v>
      </c>
      <c r="AA350" s="17">
        <f t="shared" si="33"/>
        <v>0</v>
      </c>
      <c r="AC350" s="33">
        <f t="shared" si="34"/>
        <v>0</v>
      </c>
    </row>
    <row r="351" spans="1:29">
      <c r="A351" s="34"/>
      <c r="B351" s="34"/>
      <c r="C351" s="34"/>
      <c r="D351" s="34"/>
      <c r="E351" s="33"/>
      <c r="F351" s="33"/>
      <c r="G351" s="33"/>
      <c r="H351" s="33"/>
      <c r="I351" s="33"/>
      <c r="J351" s="33"/>
      <c r="K351" s="33">
        <f t="shared" si="31"/>
        <v>0</v>
      </c>
      <c r="L351" s="33"/>
      <c r="M351" s="33"/>
      <c r="N351" s="33"/>
      <c r="O351" s="33"/>
      <c r="P351" s="33"/>
      <c r="Q351" s="33"/>
      <c r="R351" s="33"/>
      <c r="S351" s="33"/>
      <c r="T351" s="33"/>
      <c r="U351" s="33">
        <f t="shared" si="32"/>
        <v>0</v>
      </c>
      <c r="V351" s="33"/>
      <c r="W351" s="33"/>
      <c r="X351" s="33"/>
      <c r="Y351" s="33"/>
      <c r="Z351" s="33"/>
      <c r="AA351" s="33">
        <f t="shared" si="33"/>
        <v>0</v>
      </c>
      <c r="AB351" s="33"/>
      <c r="AC351" s="33">
        <f t="shared" si="34"/>
        <v>0</v>
      </c>
    </row>
    <row r="352" spans="1:29">
      <c r="A352" s="34"/>
      <c r="B352" s="34"/>
      <c r="C352" s="34"/>
      <c r="D352" s="34"/>
      <c r="K352" s="17">
        <f t="shared" si="31"/>
        <v>0</v>
      </c>
      <c r="U352" s="17">
        <f t="shared" si="32"/>
        <v>0</v>
      </c>
      <c r="AA352" s="17">
        <f t="shared" si="33"/>
        <v>0</v>
      </c>
      <c r="AC352" s="33">
        <f t="shared" si="34"/>
        <v>0</v>
      </c>
    </row>
    <row r="353" spans="1:29">
      <c r="A353" s="30"/>
      <c r="B353" s="30"/>
      <c r="C353" s="30"/>
      <c r="D353" s="30"/>
      <c r="K353" s="17">
        <f t="shared" si="31"/>
        <v>0</v>
      </c>
      <c r="U353" s="17">
        <f t="shared" si="32"/>
        <v>0</v>
      </c>
      <c r="AA353" s="17">
        <f t="shared" si="33"/>
        <v>0</v>
      </c>
      <c r="AC353" s="17">
        <f t="shared" si="34"/>
        <v>0</v>
      </c>
    </row>
    <row r="354" spans="1:29">
      <c r="A354" s="30"/>
      <c r="B354" s="30"/>
      <c r="C354" s="30"/>
      <c r="D354" s="30"/>
      <c r="K354" s="17">
        <f t="shared" si="31"/>
        <v>0</v>
      </c>
      <c r="U354" s="17">
        <f t="shared" si="32"/>
        <v>0</v>
      </c>
      <c r="AA354" s="17">
        <f t="shared" si="33"/>
        <v>0</v>
      </c>
      <c r="AC354" s="17">
        <f t="shared" si="34"/>
        <v>0</v>
      </c>
    </row>
    <row r="355" spans="1:29">
      <c r="A355" s="30"/>
      <c r="B355" s="30"/>
      <c r="C355" s="30"/>
      <c r="D355" s="30"/>
      <c r="K355" s="17">
        <f t="shared" si="31"/>
        <v>0</v>
      </c>
      <c r="U355" s="17">
        <f t="shared" si="32"/>
        <v>0</v>
      </c>
      <c r="AA355" s="17">
        <f t="shared" si="29"/>
        <v>0</v>
      </c>
      <c r="AC355" s="17">
        <f t="shared" si="30"/>
        <v>0</v>
      </c>
    </row>
    <row r="356" spans="1:29">
      <c r="A356" s="34"/>
      <c r="B356" s="34"/>
      <c r="C356" s="34"/>
      <c r="D356" s="34"/>
      <c r="K356" s="17">
        <f t="shared" si="31"/>
        <v>0</v>
      </c>
      <c r="U356" s="17">
        <f t="shared" si="32"/>
        <v>0</v>
      </c>
      <c r="AA356" s="17">
        <f>+I356-Q356-Y356</f>
        <v>0</v>
      </c>
      <c r="AC356" s="33">
        <f t="shared" si="30"/>
        <v>0</v>
      </c>
    </row>
    <row r="357" spans="1:29">
      <c r="A357" s="34"/>
      <c r="B357" s="34"/>
      <c r="C357" s="34"/>
      <c r="D357" s="34"/>
      <c r="K357" s="17">
        <f t="shared" si="31"/>
        <v>0</v>
      </c>
      <c r="U357" s="17">
        <f t="shared" si="32"/>
        <v>0</v>
      </c>
      <c r="AA357" s="17">
        <f t="shared" si="29"/>
        <v>0</v>
      </c>
      <c r="AC357" s="33">
        <f t="shared" si="30"/>
        <v>0</v>
      </c>
    </row>
    <row r="358" spans="1:29">
      <c r="A358" s="34"/>
      <c r="B358" s="34"/>
      <c r="C358" s="34"/>
      <c r="D358" s="34"/>
      <c r="K358" s="17">
        <f t="shared" si="31"/>
        <v>0</v>
      </c>
      <c r="U358" s="17">
        <f t="shared" si="32"/>
        <v>0</v>
      </c>
      <c r="AA358" s="17">
        <f t="shared" si="29"/>
        <v>0</v>
      </c>
      <c r="AC358" s="33">
        <f t="shared" si="30"/>
        <v>0</v>
      </c>
    </row>
    <row r="359" spans="1:29">
      <c r="A359" s="34"/>
      <c r="B359" s="34"/>
      <c r="C359" s="34"/>
      <c r="D359" s="34"/>
      <c r="K359" s="17">
        <f t="shared" si="31"/>
        <v>0</v>
      </c>
      <c r="U359" s="17">
        <f t="shared" si="32"/>
        <v>0</v>
      </c>
      <c r="AA359" s="17">
        <f>+I359-Q359-Y359</f>
        <v>0</v>
      </c>
      <c r="AC359" s="33">
        <f>+E359+G359+-K359-M359-S359-U359-W359-O359</f>
        <v>0</v>
      </c>
    </row>
    <row r="360" spans="1:29">
      <c r="A360" s="34"/>
      <c r="B360" s="34"/>
      <c r="C360" s="34"/>
      <c r="D360" s="34"/>
      <c r="K360" s="17">
        <f t="shared" si="31"/>
        <v>0</v>
      </c>
      <c r="U360" s="17">
        <f t="shared" si="32"/>
        <v>0</v>
      </c>
      <c r="AA360" s="17">
        <f t="shared" si="29"/>
        <v>0</v>
      </c>
      <c r="AC360" s="33">
        <f t="shared" si="30"/>
        <v>0</v>
      </c>
    </row>
    <row r="361" spans="1:29">
      <c r="A361" s="34"/>
      <c r="B361" s="34"/>
      <c r="C361" s="34"/>
      <c r="D361" s="34"/>
      <c r="K361" s="17">
        <f t="shared" si="31"/>
        <v>0</v>
      </c>
      <c r="U361" s="17">
        <f t="shared" si="32"/>
        <v>0</v>
      </c>
      <c r="AA361" s="17">
        <f t="shared" si="29"/>
        <v>0</v>
      </c>
      <c r="AC361" s="33">
        <f t="shared" si="30"/>
        <v>0</v>
      </c>
    </row>
    <row r="362" spans="1:29">
      <c r="A362" s="34"/>
      <c r="B362" s="34"/>
      <c r="C362" s="34"/>
      <c r="D362" s="34"/>
      <c r="K362" s="17">
        <f t="shared" si="31"/>
        <v>0</v>
      </c>
      <c r="U362" s="17">
        <f t="shared" si="32"/>
        <v>0</v>
      </c>
      <c r="AA362" s="17">
        <f t="shared" si="29"/>
        <v>0</v>
      </c>
      <c r="AC362" s="33">
        <f t="shared" si="30"/>
        <v>0</v>
      </c>
    </row>
    <row r="363" spans="1:29">
      <c r="A363" s="34"/>
      <c r="B363" s="34"/>
      <c r="C363" s="34"/>
      <c r="D363" s="34"/>
      <c r="K363" s="17">
        <f t="shared" si="31"/>
        <v>0</v>
      </c>
      <c r="U363" s="17">
        <f t="shared" si="32"/>
        <v>0</v>
      </c>
      <c r="AA363" s="17">
        <f t="shared" si="29"/>
        <v>0</v>
      </c>
      <c r="AC363" s="33">
        <f t="shared" si="30"/>
        <v>0</v>
      </c>
    </row>
    <row r="364" spans="1:29">
      <c r="A364" s="34"/>
      <c r="B364" s="34"/>
      <c r="C364" s="34"/>
      <c r="D364" s="34"/>
      <c r="K364" s="17">
        <f t="shared" si="31"/>
        <v>0</v>
      </c>
      <c r="U364" s="17">
        <f t="shared" si="32"/>
        <v>0</v>
      </c>
      <c r="AA364" s="17">
        <f t="shared" si="29"/>
        <v>0</v>
      </c>
      <c r="AC364" s="33">
        <f t="shared" si="30"/>
        <v>0</v>
      </c>
    </row>
    <row r="365" spans="1:29">
      <c r="A365" s="34"/>
      <c r="B365" s="34"/>
      <c r="C365" s="34"/>
      <c r="D365" s="34"/>
      <c r="K365" s="17">
        <f t="shared" si="31"/>
        <v>0</v>
      </c>
      <c r="U365" s="17">
        <f t="shared" si="32"/>
        <v>0</v>
      </c>
      <c r="AA365" s="17">
        <f t="shared" si="29"/>
        <v>0</v>
      </c>
      <c r="AC365" s="33">
        <f t="shared" si="30"/>
        <v>0</v>
      </c>
    </row>
    <row r="366" spans="1:29">
      <c r="A366" s="34"/>
      <c r="B366" s="34"/>
      <c r="C366" s="34"/>
      <c r="D366" s="34"/>
      <c r="K366" s="17">
        <f t="shared" si="31"/>
        <v>0</v>
      </c>
      <c r="U366" s="17">
        <f t="shared" si="32"/>
        <v>0</v>
      </c>
      <c r="AA366" s="17">
        <f t="shared" si="29"/>
        <v>0</v>
      </c>
      <c r="AC366" s="33">
        <f t="shared" si="30"/>
        <v>0</v>
      </c>
    </row>
    <row r="367" spans="1:29">
      <c r="A367" s="34"/>
      <c r="B367" s="34"/>
      <c r="C367" s="34"/>
      <c r="D367" s="34"/>
      <c r="K367" s="17">
        <f t="shared" si="31"/>
        <v>0</v>
      </c>
      <c r="U367" s="17">
        <f t="shared" si="32"/>
        <v>0</v>
      </c>
      <c r="AA367" s="17">
        <f t="shared" si="29"/>
        <v>0</v>
      </c>
      <c r="AC367" s="33">
        <f t="shared" si="30"/>
        <v>0</v>
      </c>
    </row>
    <row r="368" spans="1:29">
      <c r="A368" s="34"/>
      <c r="B368" s="34"/>
      <c r="C368" s="34"/>
      <c r="D368" s="34"/>
      <c r="K368" s="17">
        <f t="shared" si="31"/>
        <v>0</v>
      </c>
      <c r="U368" s="17">
        <f t="shared" si="32"/>
        <v>0</v>
      </c>
      <c r="AA368" s="17">
        <f t="shared" si="29"/>
        <v>0</v>
      </c>
      <c r="AC368" s="33">
        <f t="shared" si="30"/>
        <v>0</v>
      </c>
    </row>
    <row r="369" spans="1:29">
      <c r="A369" s="34"/>
      <c r="B369" s="34"/>
      <c r="C369" s="34"/>
      <c r="D369" s="34"/>
      <c r="K369" s="17">
        <f t="shared" si="31"/>
        <v>0</v>
      </c>
      <c r="U369" s="17">
        <f t="shared" si="32"/>
        <v>0</v>
      </c>
      <c r="AA369" s="17">
        <f t="shared" si="29"/>
        <v>0</v>
      </c>
      <c r="AC369" s="33">
        <f t="shared" si="30"/>
        <v>0</v>
      </c>
    </row>
    <row r="370" spans="1:29">
      <c r="A370" s="34"/>
      <c r="B370" s="34"/>
      <c r="C370" s="34"/>
      <c r="D370" s="34"/>
      <c r="K370" s="17">
        <f t="shared" si="31"/>
        <v>0</v>
      </c>
      <c r="U370" s="17">
        <f t="shared" si="32"/>
        <v>0</v>
      </c>
      <c r="AA370" s="17">
        <f t="shared" si="29"/>
        <v>0</v>
      </c>
      <c r="AC370" s="33">
        <f t="shared" si="30"/>
        <v>0</v>
      </c>
    </row>
    <row r="371" spans="1:29">
      <c r="A371" s="34"/>
      <c r="B371" s="34"/>
      <c r="C371" s="34"/>
      <c r="D371" s="34"/>
      <c r="K371" s="17">
        <f t="shared" si="31"/>
        <v>0</v>
      </c>
      <c r="U371" s="17">
        <f t="shared" si="32"/>
        <v>0</v>
      </c>
      <c r="AA371" s="17">
        <f t="shared" si="29"/>
        <v>0</v>
      </c>
      <c r="AC371" s="33">
        <f t="shared" si="30"/>
        <v>0</v>
      </c>
    </row>
    <row r="372" spans="1:29">
      <c r="A372" s="34"/>
      <c r="B372" s="34"/>
      <c r="C372" s="34"/>
      <c r="D372" s="34"/>
      <c r="K372" s="17">
        <f t="shared" si="31"/>
        <v>0</v>
      </c>
      <c r="U372" s="17">
        <f t="shared" si="32"/>
        <v>0</v>
      </c>
      <c r="AA372" s="17">
        <f t="shared" si="29"/>
        <v>0</v>
      </c>
      <c r="AC372" s="33">
        <f t="shared" si="30"/>
        <v>0</v>
      </c>
    </row>
    <row r="373" spans="1:29">
      <c r="A373" s="34"/>
      <c r="B373" s="34"/>
      <c r="C373" s="34"/>
      <c r="D373" s="34"/>
      <c r="K373" s="17">
        <f t="shared" si="31"/>
        <v>0</v>
      </c>
      <c r="U373" s="17">
        <f t="shared" si="32"/>
        <v>0</v>
      </c>
      <c r="AA373" s="17">
        <f t="shared" si="29"/>
        <v>0</v>
      </c>
      <c r="AC373" s="33">
        <f t="shared" si="30"/>
        <v>0</v>
      </c>
    </row>
    <row r="374" spans="1:29">
      <c r="A374" s="34"/>
      <c r="B374" s="34"/>
      <c r="C374" s="34"/>
      <c r="D374" s="34"/>
      <c r="K374" s="17">
        <f t="shared" si="31"/>
        <v>0</v>
      </c>
      <c r="U374" s="17">
        <f t="shared" si="32"/>
        <v>0</v>
      </c>
      <c r="AA374" s="17">
        <f t="shared" si="29"/>
        <v>0</v>
      </c>
      <c r="AC374" s="33">
        <f t="shared" si="30"/>
        <v>0</v>
      </c>
    </row>
    <row r="375" spans="1:29">
      <c r="A375" s="34"/>
      <c r="B375" s="34"/>
      <c r="C375" s="34"/>
      <c r="D375" s="34"/>
      <c r="K375" s="17">
        <f t="shared" si="31"/>
        <v>0</v>
      </c>
      <c r="U375" s="17">
        <f t="shared" si="32"/>
        <v>0</v>
      </c>
      <c r="AA375" s="17">
        <f t="shared" si="29"/>
        <v>0</v>
      </c>
      <c r="AC375" s="33">
        <f t="shared" si="30"/>
        <v>0</v>
      </c>
    </row>
    <row r="376" spans="1:29">
      <c r="A376" s="34"/>
      <c r="B376" s="34"/>
      <c r="C376" s="34"/>
      <c r="D376" s="34"/>
      <c r="K376" s="17">
        <f t="shared" si="31"/>
        <v>0</v>
      </c>
      <c r="U376" s="17">
        <f t="shared" si="32"/>
        <v>0</v>
      </c>
      <c r="AA376" s="17">
        <f t="shared" si="29"/>
        <v>0</v>
      </c>
      <c r="AC376" s="33">
        <f t="shared" si="30"/>
        <v>0</v>
      </c>
    </row>
    <row r="377" spans="1:29">
      <c r="A377" s="34"/>
      <c r="B377" s="34"/>
      <c r="C377" s="34"/>
      <c r="D377" s="34"/>
      <c r="K377" s="17">
        <f t="shared" si="31"/>
        <v>0</v>
      </c>
      <c r="U377" s="17">
        <f t="shared" si="32"/>
        <v>0</v>
      </c>
      <c r="AA377" s="17">
        <f t="shared" si="29"/>
        <v>0</v>
      </c>
      <c r="AC377" s="33">
        <f t="shared" si="30"/>
        <v>0</v>
      </c>
    </row>
    <row r="378" spans="1:29">
      <c r="A378" s="34"/>
      <c r="B378" s="34"/>
      <c r="C378" s="34"/>
      <c r="D378" s="34"/>
      <c r="K378" s="17">
        <f t="shared" si="31"/>
        <v>0</v>
      </c>
      <c r="U378" s="17">
        <f t="shared" si="32"/>
        <v>0</v>
      </c>
      <c r="AA378" s="17">
        <f t="shared" si="29"/>
        <v>0</v>
      </c>
      <c r="AC378" s="33">
        <f t="shared" si="30"/>
        <v>0</v>
      </c>
    </row>
    <row r="379" spans="1:29">
      <c r="A379" s="34"/>
      <c r="B379" s="34"/>
      <c r="C379" s="34"/>
      <c r="D379" s="34"/>
      <c r="K379" s="17">
        <f t="shared" si="31"/>
        <v>0</v>
      </c>
      <c r="U379" s="17">
        <f t="shared" si="32"/>
        <v>0</v>
      </c>
      <c r="AA379" s="17">
        <f t="shared" si="29"/>
        <v>0</v>
      </c>
      <c r="AC379" s="33">
        <f t="shared" si="30"/>
        <v>0</v>
      </c>
    </row>
    <row r="380" spans="1:29">
      <c r="A380" s="34"/>
      <c r="B380" s="34"/>
      <c r="C380" s="34"/>
      <c r="D380" s="34"/>
      <c r="K380" s="17">
        <f t="shared" si="31"/>
        <v>0</v>
      </c>
      <c r="U380" s="17">
        <f t="shared" si="32"/>
        <v>0</v>
      </c>
      <c r="AA380" s="17">
        <f t="shared" si="29"/>
        <v>0</v>
      </c>
      <c r="AC380" s="33">
        <f t="shared" si="30"/>
        <v>0</v>
      </c>
    </row>
    <row r="381" spans="1:29">
      <c r="A381" s="34"/>
      <c r="B381" s="34"/>
      <c r="C381" s="34"/>
      <c r="D381" s="34"/>
      <c r="K381" s="17">
        <f t="shared" si="31"/>
        <v>0</v>
      </c>
      <c r="U381" s="17">
        <f t="shared" si="32"/>
        <v>0</v>
      </c>
      <c r="AA381" s="17">
        <f t="shared" si="29"/>
        <v>0</v>
      </c>
      <c r="AC381" s="33">
        <f t="shared" si="30"/>
        <v>0</v>
      </c>
    </row>
    <row r="382" spans="1:29">
      <c r="A382" s="34"/>
      <c r="B382" s="34"/>
      <c r="C382" s="34"/>
      <c r="D382" s="34"/>
      <c r="K382" s="17">
        <f t="shared" si="31"/>
        <v>0</v>
      </c>
      <c r="U382" s="17">
        <f t="shared" si="32"/>
        <v>0</v>
      </c>
      <c r="AA382" s="17">
        <f t="shared" si="29"/>
        <v>0</v>
      </c>
      <c r="AC382" s="33">
        <f t="shared" si="30"/>
        <v>0</v>
      </c>
    </row>
    <row r="383" spans="1:29">
      <c r="A383" s="34"/>
      <c r="B383" s="34"/>
      <c r="C383" s="34"/>
      <c r="D383" s="34"/>
      <c r="K383" s="17">
        <f t="shared" si="31"/>
        <v>0</v>
      </c>
      <c r="U383" s="17">
        <f t="shared" si="32"/>
        <v>0</v>
      </c>
      <c r="AA383" s="17">
        <f t="shared" si="29"/>
        <v>0</v>
      </c>
      <c r="AC383" s="33">
        <f t="shared" si="30"/>
        <v>0</v>
      </c>
    </row>
    <row r="384" spans="1:29">
      <c r="A384" s="34"/>
      <c r="B384" s="34"/>
      <c r="C384" s="34"/>
      <c r="D384" s="34"/>
      <c r="K384" s="17">
        <f t="shared" si="31"/>
        <v>0</v>
      </c>
      <c r="U384" s="17">
        <f t="shared" si="32"/>
        <v>0</v>
      </c>
      <c r="AA384" s="17">
        <f t="shared" si="29"/>
        <v>0</v>
      </c>
      <c r="AC384" s="33">
        <f t="shared" si="30"/>
        <v>0</v>
      </c>
    </row>
    <row r="385" spans="1:29">
      <c r="A385" s="34"/>
      <c r="B385" s="34"/>
      <c r="C385" s="34"/>
      <c r="D385" s="34"/>
      <c r="K385" s="17">
        <f t="shared" si="31"/>
        <v>0</v>
      </c>
      <c r="U385" s="17">
        <f t="shared" si="32"/>
        <v>0</v>
      </c>
      <c r="AA385" s="17">
        <f t="shared" si="29"/>
        <v>0</v>
      </c>
      <c r="AC385" s="33">
        <f t="shared" si="30"/>
        <v>0</v>
      </c>
    </row>
    <row r="386" spans="1:29">
      <c r="A386" s="34"/>
      <c r="B386" s="34"/>
      <c r="C386" s="34"/>
      <c r="D386" s="34"/>
      <c r="K386" s="17">
        <f>+Q386-M386-O386</f>
        <v>0</v>
      </c>
      <c r="U386" s="17">
        <f>Y386-W386-S386</f>
        <v>0</v>
      </c>
      <c r="AA386" s="17">
        <f>+I386-Q386-Y386</f>
        <v>0</v>
      </c>
      <c r="AC386" s="33">
        <f>+E386+G386+-K386-M386-S386-U386-W386-O386</f>
        <v>0</v>
      </c>
    </row>
    <row r="387" spans="1:29">
      <c r="A387" s="34"/>
      <c r="B387" s="34"/>
      <c r="C387" s="34"/>
      <c r="D387" s="34"/>
      <c r="K387" s="17">
        <f t="shared" si="31"/>
        <v>0</v>
      </c>
      <c r="U387" s="17">
        <f t="shared" si="32"/>
        <v>0</v>
      </c>
      <c r="AA387" s="17">
        <f t="shared" si="29"/>
        <v>0</v>
      </c>
      <c r="AC387" s="33">
        <f t="shared" si="30"/>
        <v>0</v>
      </c>
    </row>
    <row r="388" spans="1:29">
      <c r="A388" s="34"/>
      <c r="B388" s="34"/>
      <c r="C388" s="34"/>
      <c r="D388" s="34"/>
      <c r="K388" s="17">
        <f t="shared" si="31"/>
        <v>0</v>
      </c>
      <c r="U388" s="17">
        <f t="shared" si="32"/>
        <v>0</v>
      </c>
      <c r="AA388" s="17">
        <f t="shared" si="29"/>
        <v>0</v>
      </c>
      <c r="AC388" s="33">
        <f t="shared" si="30"/>
        <v>0</v>
      </c>
    </row>
    <row r="389" spans="1:29">
      <c r="A389" s="34"/>
      <c r="B389" s="34"/>
      <c r="C389" s="34"/>
      <c r="D389" s="34"/>
      <c r="K389" s="17">
        <f t="shared" si="31"/>
        <v>0</v>
      </c>
      <c r="U389" s="17">
        <f t="shared" si="32"/>
        <v>0</v>
      </c>
      <c r="AA389" s="17">
        <f t="shared" si="29"/>
        <v>0</v>
      </c>
      <c r="AC389" s="33">
        <f t="shared" si="30"/>
        <v>0</v>
      </c>
    </row>
    <row r="390" spans="1:29">
      <c r="A390" s="34"/>
      <c r="B390" s="34"/>
      <c r="C390" s="34"/>
      <c r="D390" s="34"/>
      <c r="K390" s="17">
        <f t="shared" si="31"/>
        <v>0</v>
      </c>
      <c r="U390" s="17">
        <f t="shared" si="32"/>
        <v>0</v>
      </c>
      <c r="AA390" s="17">
        <f t="shared" si="29"/>
        <v>0</v>
      </c>
      <c r="AC390" s="33">
        <f t="shared" si="30"/>
        <v>0</v>
      </c>
    </row>
    <row r="391" spans="1:29">
      <c r="A391" s="34"/>
      <c r="B391" s="34"/>
      <c r="C391" s="34"/>
      <c r="D391" s="34"/>
      <c r="K391" s="17">
        <f t="shared" si="31"/>
        <v>0</v>
      </c>
      <c r="U391" s="17">
        <f t="shared" si="32"/>
        <v>0</v>
      </c>
      <c r="AA391" s="17">
        <f t="shared" si="29"/>
        <v>0</v>
      </c>
      <c r="AC391" s="33">
        <f t="shared" si="30"/>
        <v>0</v>
      </c>
    </row>
    <row r="392" spans="1:29">
      <c r="A392" s="34"/>
      <c r="B392" s="34"/>
      <c r="C392" s="34"/>
      <c r="D392" s="34"/>
      <c r="K392" s="17">
        <f t="shared" si="31"/>
        <v>0</v>
      </c>
      <c r="U392" s="17">
        <f t="shared" si="32"/>
        <v>0</v>
      </c>
      <c r="AA392" s="17">
        <f t="shared" si="29"/>
        <v>0</v>
      </c>
      <c r="AC392" s="33">
        <f t="shared" si="30"/>
        <v>0</v>
      </c>
    </row>
    <row r="393" spans="1:29">
      <c r="A393" s="34"/>
      <c r="B393" s="34"/>
      <c r="C393" s="34"/>
      <c r="D393" s="34"/>
      <c r="K393" s="17">
        <f t="shared" si="31"/>
        <v>0</v>
      </c>
      <c r="U393" s="17">
        <f t="shared" si="32"/>
        <v>0</v>
      </c>
      <c r="AA393" s="17">
        <f t="shared" si="29"/>
        <v>0</v>
      </c>
      <c r="AC393" s="33">
        <f t="shared" si="30"/>
        <v>0</v>
      </c>
    </row>
    <row r="394" spans="1:29">
      <c r="A394" s="34"/>
      <c r="B394" s="34"/>
      <c r="C394" s="34"/>
      <c r="D394" s="34"/>
      <c r="K394" s="17">
        <f t="shared" si="31"/>
        <v>0</v>
      </c>
      <c r="U394" s="17">
        <f t="shared" si="32"/>
        <v>0</v>
      </c>
      <c r="AA394" s="17">
        <f t="shared" si="29"/>
        <v>0</v>
      </c>
      <c r="AC394" s="33">
        <f t="shared" si="30"/>
        <v>0</v>
      </c>
    </row>
    <row r="395" spans="1:29">
      <c r="A395" s="34"/>
      <c r="B395" s="34"/>
      <c r="C395" s="34"/>
      <c r="D395" s="34"/>
      <c r="K395" s="17">
        <f t="shared" si="31"/>
        <v>0</v>
      </c>
      <c r="U395" s="17">
        <f t="shared" si="32"/>
        <v>0</v>
      </c>
      <c r="AA395" s="17">
        <f t="shared" si="29"/>
        <v>0</v>
      </c>
      <c r="AC395" s="33">
        <f t="shared" si="30"/>
        <v>0</v>
      </c>
    </row>
    <row r="396" spans="1:29">
      <c r="A396" s="34"/>
      <c r="B396" s="34"/>
      <c r="C396" s="34"/>
      <c r="D396" s="34"/>
      <c r="K396" s="17">
        <f t="shared" si="31"/>
        <v>0</v>
      </c>
      <c r="U396" s="17">
        <f t="shared" si="32"/>
        <v>0</v>
      </c>
      <c r="AA396" s="17">
        <f t="shared" si="29"/>
        <v>0</v>
      </c>
      <c r="AC396" s="33">
        <f t="shared" si="30"/>
        <v>0</v>
      </c>
    </row>
    <row r="397" spans="1:29">
      <c r="A397" s="34"/>
      <c r="B397" s="34"/>
      <c r="C397" s="34"/>
      <c r="D397" s="34"/>
      <c r="K397" s="17">
        <f t="shared" si="31"/>
        <v>0</v>
      </c>
      <c r="U397" s="17">
        <f t="shared" si="32"/>
        <v>0</v>
      </c>
      <c r="AA397" s="17">
        <f t="shared" si="29"/>
        <v>0</v>
      </c>
      <c r="AC397" s="33">
        <f t="shared" si="30"/>
        <v>0</v>
      </c>
    </row>
    <row r="398" spans="1:29">
      <c r="A398" s="34"/>
      <c r="B398" s="34"/>
      <c r="C398" s="34"/>
      <c r="D398" s="34"/>
      <c r="K398" s="17">
        <f t="shared" si="31"/>
        <v>0</v>
      </c>
      <c r="U398" s="17">
        <f t="shared" si="32"/>
        <v>0</v>
      </c>
      <c r="AA398" s="17">
        <f t="shared" si="29"/>
        <v>0</v>
      </c>
      <c r="AC398" s="33">
        <f t="shared" si="30"/>
        <v>0</v>
      </c>
    </row>
    <row r="399" spans="1:29">
      <c r="A399" s="34"/>
      <c r="B399" s="34"/>
      <c r="C399" s="34"/>
      <c r="D399" s="34"/>
      <c r="K399" s="17">
        <f t="shared" si="31"/>
        <v>0</v>
      </c>
      <c r="U399" s="17">
        <f t="shared" si="32"/>
        <v>0</v>
      </c>
      <c r="AA399" s="17">
        <f t="shared" si="29"/>
        <v>0</v>
      </c>
      <c r="AC399" s="33">
        <f t="shared" si="30"/>
        <v>0</v>
      </c>
    </row>
    <row r="400" spans="1:29">
      <c r="A400" s="34"/>
      <c r="B400" s="34"/>
      <c r="C400" s="34"/>
      <c r="D400" s="34"/>
      <c r="K400" s="17">
        <f t="shared" si="31"/>
        <v>0</v>
      </c>
      <c r="U400" s="17">
        <f t="shared" si="32"/>
        <v>0</v>
      </c>
      <c r="AA400" s="17">
        <f t="shared" si="29"/>
        <v>0</v>
      </c>
      <c r="AC400" s="33">
        <f t="shared" si="30"/>
        <v>0</v>
      </c>
    </row>
    <row r="401" spans="1:31">
      <c r="A401" s="34"/>
      <c r="B401" s="34"/>
      <c r="C401" s="34"/>
      <c r="D401" s="34"/>
      <c r="K401" s="17">
        <f t="shared" si="31"/>
        <v>0</v>
      </c>
      <c r="U401" s="17">
        <f t="shared" si="32"/>
        <v>0</v>
      </c>
      <c r="AA401" s="17">
        <f t="shared" si="29"/>
        <v>0</v>
      </c>
      <c r="AC401" s="33">
        <f t="shared" si="30"/>
        <v>0</v>
      </c>
    </row>
    <row r="402" spans="1:31">
      <c r="A402" s="34"/>
      <c r="B402" s="34"/>
      <c r="C402" s="34"/>
      <c r="D402" s="34"/>
      <c r="K402" s="17">
        <f t="shared" si="31"/>
        <v>0</v>
      </c>
      <c r="U402" s="17">
        <f t="shared" si="32"/>
        <v>0</v>
      </c>
      <c r="AA402" s="17">
        <f t="shared" si="29"/>
        <v>0</v>
      </c>
      <c r="AC402" s="33">
        <f t="shared" si="30"/>
        <v>0</v>
      </c>
    </row>
    <row r="403" spans="1:31">
      <c r="A403" s="34"/>
      <c r="B403" s="34"/>
      <c r="C403" s="34"/>
      <c r="D403" s="34"/>
      <c r="K403" s="17">
        <f t="shared" si="31"/>
        <v>0</v>
      </c>
      <c r="U403" s="17">
        <f t="shared" si="32"/>
        <v>0</v>
      </c>
      <c r="AA403" s="17">
        <f t="shared" si="29"/>
        <v>0</v>
      </c>
      <c r="AC403" s="33">
        <f t="shared" si="30"/>
        <v>0</v>
      </c>
    </row>
    <row r="404" spans="1:31">
      <c r="A404" s="34"/>
      <c r="B404" s="34"/>
      <c r="C404" s="34"/>
      <c r="D404" s="34"/>
      <c r="K404" s="17">
        <f t="shared" si="31"/>
        <v>0</v>
      </c>
      <c r="U404" s="17">
        <f t="shared" si="32"/>
        <v>0</v>
      </c>
      <c r="AA404" s="17">
        <f t="shared" si="29"/>
        <v>0</v>
      </c>
      <c r="AC404" s="33">
        <f t="shared" si="30"/>
        <v>0</v>
      </c>
    </row>
    <row r="405" spans="1:31">
      <c r="A405" s="34"/>
      <c r="B405" s="34"/>
      <c r="C405" s="34"/>
      <c r="D405" s="34"/>
      <c r="K405" s="17">
        <f t="shared" si="31"/>
        <v>0</v>
      </c>
      <c r="U405" s="17">
        <f t="shared" si="32"/>
        <v>0</v>
      </c>
      <c r="AA405" s="17">
        <f t="shared" si="29"/>
        <v>0</v>
      </c>
      <c r="AC405" s="33">
        <f t="shared" si="30"/>
        <v>0</v>
      </c>
    </row>
    <row r="406" spans="1:31">
      <c r="A406" s="34"/>
      <c r="B406" s="34"/>
      <c r="C406" s="34"/>
      <c r="D406" s="34"/>
      <c r="K406" s="17">
        <f t="shared" si="31"/>
        <v>0</v>
      </c>
      <c r="U406" s="17">
        <f>Y406-W406-S406</f>
        <v>0</v>
      </c>
      <c r="AA406" s="17">
        <f t="shared" si="29"/>
        <v>0</v>
      </c>
      <c r="AC406" s="33">
        <f t="shared" si="30"/>
        <v>0</v>
      </c>
    </row>
    <row r="407" spans="1:31">
      <c r="A407" s="34"/>
      <c r="B407" s="34"/>
      <c r="C407" s="34"/>
      <c r="D407" s="34"/>
      <c r="K407" s="17">
        <f t="shared" si="31"/>
        <v>0</v>
      </c>
      <c r="U407" s="17">
        <f t="shared" ref="U407:U414" si="35">Y407-W407-S407</f>
        <v>0</v>
      </c>
      <c r="AA407" s="17">
        <f t="shared" si="29"/>
        <v>0</v>
      </c>
      <c r="AC407" s="33">
        <f t="shared" si="30"/>
        <v>0</v>
      </c>
      <c r="AE407" s="17" t="s">
        <v>537</v>
      </c>
    </row>
    <row r="408" spans="1:31">
      <c r="A408" s="34"/>
      <c r="B408" s="34"/>
      <c r="C408" s="34"/>
      <c r="D408" s="34"/>
      <c r="K408" s="17">
        <f t="shared" si="31"/>
        <v>0</v>
      </c>
      <c r="U408" s="17">
        <f t="shared" si="35"/>
        <v>0</v>
      </c>
      <c r="AA408" s="17">
        <f t="shared" si="29"/>
        <v>0</v>
      </c>
      <c r="AC408" s="33">
        <f t="shared" si="30"/>
        <v>0</v>
      </c>
    </row>
    <row r="409" spans="1:31">
      <c r="A409" s="34"/>
      <c r="B409" s="34"/>
      <c r="C409" s="34"/>
      <c r="D409" s="34"/>
      <c r="K409" s="17">
        <f t="shared" si="31"/>
        <v>0</v>
      </c>
      <c r="U409" s="17">
        <f t="shared" si="35"/>
        <v>0</v>
      </c>
      <c r="AA409" s="17">
        <f t="shared" si="29"/>
        <v>0</v>
      </c>
      <c r="AC409" s="33">
        <f t="shared" ref="AC409:AC472" si="36">+E409+G409+-K409-M409-S409-U409-W409-O409</f>
        <v>0</v>
      </c>
    </row>
    <row r="410" spans="1:31">
      <c r="A410" s="34"/>
      <c r="B410" s="34"/>
      <c r="C410" s="34"/>
      <c r="D410" s="34"/>
      <c r="K410" s="17">
        <f t="shared" si="31"/>
        <v>0</v>
      </c>
      <c r="U410" s="17">
        <f t="shared" si="35"/>
        <v>0</v>
      </c>
      <c r="AA410" s="17">
        <f t="shared" si="29"/>
        <v>0</v>
      </c>
      <c r="AC410" s="33">
        <f t="shared" si="36"/>
        <v>0</v>
      </c>
    </row>
    <row r="411" spans="1:31">
      <c r="A411" s="34"/>
      <c r="B411" s="34"/>
      <c r="C411" s="34"/>
      <c r="D411" s="34"/>
      <c r="K411" s="17">
        <f t="shared" si="31"/>
        <v>0</v>
      </c>
      <c r="U411" s="17">
        <f t="shared" si="35"/>
        <v>0</v>
      </c>
      <c r="AA411" s="17">
        <f t="shared" si="29"/>
        <v>0</v>
      </c>
      <c r="AC411" s="33">
        <f t="shared" si="36"/>
        <v>0</v>
      </c>
    </row>
    <row r="412" spans="1:31">
      <c r="A412" s="30"/>
      <c r="B412" s="30"/>
      <c r="C412" s="30"/>
      <c r="D412" s="30"/>
      <c r="K412" s="17">
        <f t="shared" ref="K412:K414" si="37">+Q412-M412-O412</f>
        <v>0</v>
      </c>
      <c r="U412" s="17">
        <f t="shared" si="35"/>
        <v>0</v>
      </c>
      <c r="AA412" s="17">
        <f t="shared" ref="AA412:AA475" si="38">+I412-Q412-Y412</f>
        <v>0</v>
      </c>
      <c r="AC412" s="17">
        <f t="shared" si="36"/>
        <v>0</v>
      </c>
    </row>
    <row r="413" spans="1:31">
      <c r="A413" s="34"/>
      <c r="B413" s="34"/>
      <c r="C413" s="34"/>
      <c r="D413" s="34"/>
      <c r="K413" s="17">
        <f t="shared" si="37"/>
        <v>0</v>
      </c>
      <c r="U413" s="17">
        <f t="shared" si="35"/>
        <v>0</v>
      </c>
      <c r="AA413" s="17">
        <f t="shared" si="38"/>
        <v>0</v>
      </c>
      <c r="AC413" s="33">
        <f t="shared" si="36"/>
        <v>0</v>
      </c>
    </row>
    <row r="414" spans="1:31">
      <c r="A414" s="34"/>
      <c r="B414" s="34"/>
      <c r="C414" s="34"/>
      <c r="D414" s="34"/>
      <c r="K414" s="17">
        <f t="shared" si="37"/>
        <v>0</v>
      </c>
      <c r="U414" s="17">
        <f t="shared" si="35"/>
        <v>0</v>
      </c>
      <c r="AA414" s="17">
        <f t="shared" si="38"/>
        <v>0</v>
      </c>
      <c r="AC414" s="33">
        <f t="shared" si="36"/>
        <v>0</v>
      </c>
    </row>
    <row r="415" spans="1:31">
      <c r="A415" s="34"/>
      <c r="B415" s="34"/>
      <c r="C415" s="34"/>
      <c r="D415" s="34"/>
      <c r="K415" s="17">
        <f>+Q415-M415-O415</f>
        <v>0</v>
      </c>
      <c r="U415" s="17">
        <f>Y415-W415-S415</f>
        <v>0</v>
      </c>
      <c r="AA415" s="17">
        <f t="shared" si="38"/>
        <v>0</v>
      </c>
      <c r="AC415" s="33">
        <f t="shared" si="36"/>
        <v>0</v>
      </c>
    </row>
    <row r="416" spans="1:31">
      <c r="A416" s="34"/>
      <c r="B416" s="34"/>
      <c r="C416" s="34"/>
      <c r="D416" s="34"/>
      <c r="K416" s="17">
        <f>+Q416-M416-O416</f>
        <v>0</v>
      </c>
      <c r="U416" s="17">
        <f>Y416-W416-S416</f>
        <v>0</v>
      </c>
      <c r="AA416" s="17">
        <f t="shared" si="38"/>
        <v>0</v>
      </c>
      <c r="AC416" s="33">
        <f t="shared" si="36"/>
        <v>0</v>
      </c>
    </row>
    <row r="417" spans="1:29">
      <c r="A417" s="34"/>
      <c r="B417" s="34"/>
      <c r="C417" s="34"/>
      <c r="D417" s="34"/>
      <c r="K417" s="17">
        <f>+Q417-M417-O417</f>
        <v>0</v>
      </c>
      <c r="U417" s="17">
        <f>Y417-W417-S417</f>
        <v>0</v>
      </c>
      <c r="AA417" s="17">
        <f t="shared" si="38"/>
        <v>0</v>
      </c>
      <c r="AC417" s="33">
        <f t="shared" si="36"/>
        <v>0</v>
      </c>
    </row>
    <row r="418" spans="1:29">
      <c r="A418" s="34"/>
      <c r="B418" s="34"/>
      <c r="C418" s="34"/>
      <c r="D418" s="34"/>
      <c r="K418" s="17">
        <f>+Q418-M418-O418</f>
        <v>0</v>
      </c>
      <c r="U418" s="17">
        <f>Y418-W418-S418</f>
        <v>0</v>
      </c>
      <c r="AA418" s="17">
        <f t="shared" si="38"/>
        <v>0</v>
      </c>
      <c r="AC418" s="33">
        <f t="shared" si="36"/>
        <v>0</v>
      </c>
    </row>
    <row r="419" spans="1:29">
      <c r="A419" s="34"/>
      <c r="B419" s="34"/>
      <c r="C419" s="34"/>
      <c r="D419" s="34"/>
      <c r="K419" s="17">
        <f>+Q419-M419-O419</f>
        <v>0</v>
      </c>
      <c r="U419" s="17">
        <f>Y419-W419-S419</f>
        <v>0</v>
      </c>
      <c r="AA419" s="17">
        <f t="shared" si="38"/>
        <v>0</v>
      </c>
      <c r="AC419" s="33">
        <f t="shared" si="36"/>
        <v>0</v>
      </c>
    </row>
    <row r="420" spans="1:29">
      <c r="A420" s="30"/>
      <c r="B420" s="30"/>
      <c r="C420" s="30"/>
      <c r="D420" s="30"/>
      <c r="K420" s="17">
        <f t="shared" ref="K420:K483" si="39">+Q420-M420-O420</f>
        <v>0</v>
      </c>
      <c r="U420" s="17">
        <f t="shared" ref="U420:U483" si="40">Y420-W420-S420</f>
        <v>0</v>
      </c>
      <c r="AA420" s="17">
        <f t="shared" si="38"/>
        <v>0</v>
      </c>
      <c r="AC420" s="17">
        <f t="shared" si="36"/>
        <v>0</v>
      </c>
    </row>
    <row r="423" spans="1:29" s="33" customFormat="1">
      <c r="A423" s="31"/>
      <c r="B423" s="31"/>
      <c r="C423" s="31"/>
      <c r="D423" s="31"/>
      <c r="K423" s="33">
        <f t="shared" ref="K423:K429" si="41">+Q423-M423-O423</f>
        <v>0</v>
      </c>
      <c r="U423" s="33">
        <f t="shared" ref="U423:U429" si="42">Y423-W423-S423</f>
        <v>0</v>
      </c>
      <c r="AA423" s="33">
        <f t="shared" ref="AA423:AA429" si="43">+I423-Q423-Y423</f>
        <v>0</v>
      </c>
      <c r="AC423" s="33">
        <f t="shared" ref="AC423:AC429" si="44">+E423+G423+-K423-M423-S423-U423-W423-O423</f>
        <v>0</v>
      </c>
    </row>
    <row r="424" spans="1:29">
      <c r="A424" s="34"/>
      <c r="B424" s="34"/>
      <c r="C424" s="34"/>
      <c r="D424" s="34"/>
      <c r="K424" s="17">
        <f t="shared" si="41"/>
        <v>0</v>
      </c>
      <c r="U424" s="17">
        <f t="shared" si="42"/>
        <v>0</v>
      </c>
      <c r="AA424" s="17">
        <f t="shared" si="43"/>
        <v>0</v>
      </c>
      <c r="AC424" s="33">
        <f t="shared" si="44"/>
        <v>0</v>
      </c>
    </row>
    <row r="425" spans="1:29">
      <c r="A425" s="34"/>
      <c r="B425" s="34"/>
      <c r="C425" s="34"/>
      <c r="D425" s="34"/>
      <c r="K425" s="17">
        <f t="shared" si="41"/>
        <v>0</v>
      </c>
      <c r="U425" s="17">
        <f t="shared" si="42"/>
        <v>0</v>
      </c>
      <c r="AA425" s="17">
        <f t="shared" si="43"/>
        <v>0</v>
      </c>
      <c r="AC425" s="33">
        <f t="shared" si="44"/>
        <v>0</v>
      </c>
    </row>
    <row r="426" spans="1:29">
      <c r="A426" s="34"/>
      <c r="B426" s="34"/>
      <c r="C426" s="34"/>
      <c r="D426" s="34"/>
      <c r="K426" s="17">
        <f t="shared" si="41"/>
        <v>0</v>
      </c>
      <c r="U426" s="17">
        <f t="shared" si="42"/>
        <v>0</v>
      </c>
      <c r="AA426" s="17">
        <f t="shared" si="43"/>
        <v>0</v>
      </c>
      <c r="AC426" s="33">
        <f t="shared" si="44"/>
        <v>0</v>
      </c>
    </row>
    <row r="427" spans="1:29">
      <c r="A427" s="34"/>
      <c r="B427" s="34"/>
      <c r="C427" s="34"/>
      <c r="D427" s="34"/>
      <c r="K427" s="17">
        <f t="shared" si="41"/>
        <v>0</v>
      </c>
      <c r="U427" s="17">
        <f t="shared" si="42"/>
        <v>0</v>
      </c>
      <c r="AA427" s="17">
        <f t="shared" si="43"/>
        <v>0</v>
      </c>
      <c r="AC427" s="33">
        <f t="shared" si="44"/>
        <v>0</v>
      </c>
    </row>
    <row r="428" spans="1:29">
      <c r="A428" s="34"/>
      <c r="B428" s="34"/>
      <c r="C428" s="34"/>
      <c r="D428" s="34"/>
      <c r="K428" s="17">
        <f t="shared" si="41"/>
        <v>0</v>
      </c>
      <c r="U428" s="17">
        <f t="shared" si="42"/>
        <v>0</v>
      </c>
      <c r="AA428" s="17">
        <f t="shared" si="43"/>
        <v>0</v>
      </c>
      <c r="AC428" s="33">
        <f t="shared" si="44"/>
        <v>0</v>
      </c>
    </row>
    <row r="429" spans="1:29">
      <c r="A429" s="34"/>
      <c r="B429" s="34"/>
      <c r="C429" s="34"/>
      <c r="D429" s="34"/>
      <c r="K429" s="17">
        <f t="shared" si="41"/>
        <v>0</v>
      </c>
      <c r="U429" s="17">
        <f t="shared" si="42"/>
        <v>0</v>
      </c>
      <c r="AA429" s="17">
        <f t="shared" si="43"/>
        <v>0</v>
      </c>
      <c r="AC429" s="33">
        <f t="shared" si="44"/>
        <v>0</v>
      </c>
    </row>
    <row r="430" spans="1:29">
      <c r="A430" s="30"/>
      <c r="B430" s="30"/>
      <c r="C430" s="30"/>
      <c r="D430" s="30"/>
      <c r="K430" s="17">
        <f t="shared" si="39"/>
        <v>0</v>
      </c>
      <c r="U430" s="17">
        <f t="shared" si="40"/>
        <v>0</v>
      </c>
      <c r="AA430" s="17">
        <f t="shared" si="38"/>
        <v>0</v>
      </c>
      <c r="AC430" s="17">
        <f t="shared" si="36"/>
        <v>0</v>
      </c>
    </row>
    <row r="431" spans="1:29">
      <c r="A431" s="34"/>
      <c r="B431" s="34"/>
      <c r="C431" s="34"/>
      <c r="D431" s="34"/>
      <c r="K431" s="17">
        <f t="shared" si="39"/>
        <v>0</v>
      </c>
      <c r="U431" s="17">
        <f t="shared" si="40"/>
        <v>0</v>
      </c>
      <c r="AA431" s="17">
        <f t="shared" si="38"/>
        <v>0</v>
      </c>
      <c r="AC431" s="33">
        <f t="shared" si="36"/>
        <v>0</v>
      </c>
    </row>
    <row r="432" spans="1:29">
      <c r="A432" s="34"/>
      <c r="B432" s="34"/>
      <c r="C432" s="34"/>
      <c r="D432" s="34"/>
      <c r="K432" s="17">
        <f>+Q432-M432-O432</f>
        <v>0</v>
      </c>
      <c r="U432" s="17">
        <f t="shared" si="40"/>
        <v>0</v>
      </c>
      <c r="AA432" s="17">
        <f t="shared" si="38"/>
        <v>0</v>
      </c>
      <c r="AC432" s="33">
        <f t="shared" si="36"/>
        <v>0</v>
      </c>
    </row>
    <row r="433" spans="1:29">
      <c r="A433" s="34"/>
      <c r="B433" s="34"/>
      <c r="C433" s="34"/>
      <c r="D433" s="34"/>
      <c r="K433" s="17">
        <f t="shared" si="39"/>
        <v>0</v>
      </c>
      <c r="U433" s="17">
        <f t="shared" si="40"/>
        <v>0</v>
      </c>
      <c r="AA433" s="17">
        <f t="shared" si="38"/>
        <v>0</v>
      </c>
      <c r="AC433" s="33">
        <f t="shared" si="36"/>
        <v>0</v>
      </c>
    </row>
    <row r="434" spans="1:29">
      <c r="A434" s="34"/>
      <c r="B434" s="34"/>
      <c r="C434" s="34"/>
      <c r="D434" s="34"/>
      <c r="K434" s="17">
        <f t="shared" si="39"/>
        <v>0</v>
      </c>
      <c r="U434" s="17">
        <f t="shared" si="40"/>
        <v>0</v>
      </c>
      <c r="AA434" s="17">
        <f t="shared" si="38"/>
        <v>0</v>
      </c>
      <c r="AC434" s="33">
        <f t="shared" si="36"/>
        <v>0</v>
      </c>
    </row>
    <row r="435" spans="1:29">
      <c r="A435" s="34"/>
      <c r="B435" s="34"/>
      <c r="C435" s="34"/>
      <c r="D435" s="34"/>
      <c r="K435" s="17">
        <f t="shared" si="39"/>
        <v>0</v>
      </c>
      <c r="U435" s="17">
        <f t="shared" si="40"/>
        <v>0</v>
      </c>
      <c r="AA435" s="17">
        <f t="shared" si="38"/>
        <v>0</v>
      </c>
      <c r="AC435" s="33">
        <f t="shared" si="36"/>
        <v>0</v>
      </c>
    </row>
    <row r="436" spans="1:29">
      <c r="A436" s="34"/>
      <c r="B436" s="34"/>
      <c r="C436" s="34"/>
      <c r="D436" s="34"/>
      <c r="K436" s="17">
        <f t="shared" si="39"/>
        <v>0</v>
      </c>
      <c r="U436" s="17">
        <f t="shared" si="40"/>
        <v>0</v>
      </c>
      <c r="AA436" s="17">
        <f t="shared" si="38"/>
        <v>0</v>
      </c>
      <c r="AC436" s="33">
        <f t="shared" si="36"/>
        <v>0</v>
      </c>
    </row>
    <row r="437" spans="1:29">
      <c r="A437" s="34"/>
      <c r="B437" s="34"/>
      <c r="C437" s="34"/>
      <c r="D437" s="34"/>
      <c r="K437" s="17">
        <f t="shared" si="39"/>
        <v>0</v>
      </c>
      <c r="U437" s="17">
        <f t="shared" si="40"/>
        <v>0</v>
      </c>
      <c r="AA437" s="17">
        <f t="shared" si="38"/>
        <v>0</v>
      </c>
      <c r="AC437" s="33">
        <f t="shared" si="36"/>
        <v>0</v>
      </c>
    </row>
    <row r="438" spans="1:29">
      <c r="A438" s="34"/>
      <c r="B438" s="34"/>
      <c r="C438" s="34"/>
      <c r="D438" s="34"/>
      <c r="K438" s="17">
        <f t="shared" si="39"/>
        <v>0</v>
      </c>
      <c r="U438" s="17">
        <f t="shared" si="40"/>
        <v>0</v>
      </c>
      <c r="AA438" s="17">
        <f t="shared" si="38"/>
        <v>0</v>
      </c>
      <c r="AC438" s="33">
        <f t="shared" si="36"/>
        <v>0</v>
      </c>
    </row>
    <row r="439" spans="1:29">
      <c r="A439" s="34"/>
      <c r="B439" s="34"/>
      <c r="C439" s="34"/>
      <c r="D439" s="34"/>
      <c r="K439" s="17">
        <f t="shared" si="39"/>
        <v>0</v>
      </c>
      <c r="U439" s="17">
        <f t="shared" si="40"/>
        <v>0</v>
      </c>
      <c r="AA439" s="17">
        <f t="shared" si="38"/>
        <v>0</v>
      </c>
      <c r="AC439" s="33">
        <f t="shared" si="36"/>
        <v>0</v>
      </c>
    </row>
    <row r="440" spans="1:29">
      <c r="A440" s="34"/>
      <c r="B440" s="34"/>
      <c r="C440" s="34"/>
      <c r="D440" s="34"/>
      <c r="K440" s="17">
        <f t="shared" si="39"/>
        <v>0</v>
      </c>
      <c r="U440" s="17">
        <f t="shared" si="40"/>
        <v>0</v>
      </c>
      <c r="AA440" s="17">
        <f t="shared" si="38"/>
        <v>0</v>
      </c>
      <c r="AC440" s="33">
        <f t="shared" si="36"/>
        <v>0</v>
      </c>
    </row>
    <row r="441" spans="1:29">
      <c r="A441" s="34"/>
      <c r="B441" s="34"/>
      <c r="C441" s="34"/>
      <c r="D441" s="34"/>
      <c r="K441" s="17">
        <f t="shared" si="39"/>
        <v>0</v>
      </c>
      <c r="U441" s="17">
        <f t="shared" si="40"/>
        <v>0</v>
      </c>
      <c r="AA441" s="17">
        <f t="shared" si="38"/>
        <v>0</v>
      </c>
      <c r="AC441" s="33">
        <f t="shared" si="36"/>
        <v>0</v>
      </c>
    </row>
    <row r="442" spans="1:29">
      <c r="A442" s="34"/>
      <c r="B442" s="34"/>
      <c r="C442" s="34"/>
      <c r="D442" s="34"/>
      <c r="K442" s="17">
        <f t="shared" si="39"/>
        <v>0</v>
      </c>
      <c r="U442" s="17">
        <f t="shared" si="40"/>
        <v>0</v>
      </c>
      <c r="AA442" s="17">
        <f t="shared" si="38"/>
        <v>0</v>
      </c>
      <c r="AC442" s="33">
        <f t="shared" si="36"/>
        <v>0</v>
      </c>
    </row>
    <row r="443" spans="1:29">
      <c r="A443" s="34"/>
      <c r="B443" s="34"/>
      <c r="C443" s="34"/>
      <c r="D443" s="34"/>
      <c r="K443" s="17">
        <f t="shared" si="39"/>
        <v>0</v>
      </c>
      <c r="U443" s="17">
        <f t="shared" si="40"/>
        <v>0</v>
      </c>
      <c r="AA443" s="17">
        <f t="shared" si="38"/>
        <v>0</v>
      </c>
      <c r="AC443" s="33">
        <f t="shared" si="36"/>
        <v>0</v>
      </c>
    </row>
    <row r="444" spans="1:29">
      <c r="A444" s="34"/>
      <c r="B444" s="34"/>
      <c r="C444" s="34"/>
      <c r="D444" s="34"/>
      <c r="K444" s="17">
        <f t="shared" si="39"/>
        <v>0</v>
      </c>
      <c r="U444" s="17">
        <f t="shared" si="40"/>
        <v>0</v>
      </c>
      <c r="AA444" s="17">
        <f t="shared" si="38"/>
        <v>0</v>
      </c>
      <c r="AC444" s="33">
        <f t="shared" si="36"/>
        <v>0</v>
      </c>
    </row>
    <row r="445" spans="1:29">
      <c r="A445" s="34"/>
      <c r="B445" s="34"/>
      <c r="C445" s="34"/>
      <c r="D445" s="34"/>
      <c r="K445" s="17">
        <f t="shared" si="39"/>
        <v>0</v>
      </c>
      <c r="U445" s="17">
        <f t="shared" si="40"/>
        <v>0</v>
      </c>
      <c r="AA445" s="17">
        <f t="shared" si="38"/>
        <v>0</v>
      </c>
      <c r="AC445" s="33">
        <f t="shared" si="36"/>
        <v>0</v>
      </c>
    </row>
    <row r="446" spans="1:29">
      <c r="A446" s="34"/>
      <c r="B446" s="34"/>
      <c r="C446" s="34"/>
      <c r="D446" s="34"/>
      <c r="K446" s="17">
        <f t="shared" si="39"/>
        <v>0</v>
      </c>
      <c r="U446" s="17">
        <f t="shared" si="40"/>
        <v>0</v>
      </c>
      <c r="AA446" s="17">
        <f t="shared" si="38"/>
        <v>0</v>
      </c>
      <c r="AC446" s="33">
        <f t="shared" si="36"/>
        <v>0</v>
      </c>
    </row>
    <row r="447" spans="1:29">
      <c r="A447" s="34"/>
      <c r="B447" s="34"/>
      <c r="C447" s="34"/>
      <c r="D447" s="34"/>
      <c r="K447" s="17">
        <f t="shared" si="39"/>
        <v>0</v>
      </c>
      <c r="U447" s="17">
        <f t="shared" si="40"/>
        <v>0</v>
      </c>
      <c r="AA447" s="17">
        <f t="shared" si="38"/>
        <v>0</v>
      </c>
      <c r="AC447" s="33">
        <f t="shared" si="36"/>
        <v>0</v>
      </c>
    </row>
    <row r="448" spans="1:29">
      <c r="A448" s="34"/>
      <c r="B448" s="34"/>
      <c r="C448" s="34"/>
      <c r="D448" s="34"/>
      <c r="K448" s="17">
        <f t="shared" si="39"/>
        <v>0</v>
      </c>
      <c r="U448" s="17">
        <f t="shared" si="40"/>
        <v>0</v>
      </c>
      <c r="AA448" s="17">
        <f t="shared" si="38"/>
        <v>0</v>
      </c>
      <c r="AC448" s="33">
        <f t="shared" si="36"/>
        <v>0</v>
      </c>
    </row>
    <row r="449" spans="1:29">
      <c r="A449" s="34"/>
      <c r="B449" s="34"/>
      <c r="C449" s="34"/>
      <c r="D449" s="34"/>
      <c r="K449" s="17">
        <f t="shared" si="39"/>
        <v>0</v>
      </c>
      <c r="U449" s="17">
        <f t="shared" si="40"/>
        <v>0</v>
      </c>
      <c r="AA449" s="17">
        <f t="shared" si="38"/>
        <v>0</v>
      </c>
      <c r="AC449" s="33">
        <f t="shared" si="36"/>
        <v>0</v>
      </c>
    </row>
    <row r="450" spans="1:29">
      <c r="A450" s="34"/>
      <c r="B450" s="34"/>
      <c r="C450" s="34"/>
      <c r="D450" s="34"/>
      <c r="K450" s="17">
        <f t="shared" si="39"/>
        <v>0</v>
      </c>
      <c r="U450" s="17">
        <f t="shared" si="40"/>
        <v>0</v>
      </c>
      <c r="AA450" s="17">
        <f t="shared" si="38"/>
        <v>0</v>
      </c>
      <c r="AC450" s="33">
        <f t="shared" si="36"/>
        <v>0</v>
      </c>
    </row>
    <row r="451" spans="1:29">
      <c r="A451" s="34"/>
      <c r="B451" s="34"/>
      <c r="C451" s="34"/>
      <c r="D451" s="34"/>
      <c r="K451" s="17">
        <f t="shared" si="39"/>
        <v>0</v>
      </c>
      <c r="U451" s="17">
        <f t="shared" si="40"/>
        <v>0</v>
      </c>
      <c r="AA451" s="17">
        <f t="shared" si="38"/>
        <v>0</v>
      </c>
      <c r="AC451" s="33">
        <f t="shared" si="36"/>
        <v>0</v>
      </c>
    </row>
    <row r="452" spans="1:29">
      <c r="A452" s="34"/>
      <c r="B452" s="34"/>
      <c r="C452" s="34"/>
      <c r="D452" s="34"/>
      <c r="K452" s="17">
        <f t="shared" si="39"/>
        <v>0</v>
      </c>
      <c r="U452" s="17">
        <f t="shared" si="40"/>
        <v>0</v>
      </c>
      <c r="AA452" s="17">
        <f t="shared" si="38"/>
        <v>0</v>
      </c>
      <c r="AC452" s="33">
        <f t="shared" si="36"/>
        <v>0</v>
      </c>
    </row>
    <row r="453" spans="1:29">
      <c r="A453" s="34"/>
      <c r="B453" s="34"/>
      <c r="C453" s="34"/>
      <c r="D453" s="34"/>
      <c r="K453" s="17">
        <f t="shared" si="39"/>
        <v>0</v>
      </c>
      <c r="U453" s="17">
        <f t="shared" si="40"/>
        <v>0</v>
      </c>
      <c r="AA453" s="17">
        <f t="shared" si="38"/>
        <v>0</v>
      </c>
      <c r="AC453" s="33">
        <f t="shared" si="36"/>
        <v>0</v>
      </c>
    </row>
    <row r="454" spans="1:29">
      <c r="A454" s="34"/>
      <c r="B454" s="34"/>
      <c r="C454" s="34"/>
      <c r="D454" s="34"/>
      <c r="K454" s="17">
        <f t="shared" si="39"/>
        <v>0</v>
      </c>
      <c r="U454" s="17">
        <f t="shared" si="40"/>
        <v>0</v>
      </c>
      <c r="AA454" s="17">
        <f>+I454-Q454-Y454</f>
        <v>0</v>
      </c>
      <c r="AC454" s="33">
        <f t="shared" si="36"/>
        <v>0</v>
      </c>
    </row>
    <row r="455" spans="1:29">
      <c r="A455" s="34"/>
      <c r="B455" s="34"/>
      <c r="C455" s="34"/>
      <c r="D455" s="34"/>
      <c r="K455" s="17">
        <f t="shared" si="39"/>
        <v>0</v>
      </c>
      <c r="U455" s="17">
        <f t="shared" si="40"/>
        <v>0</v>
      </c>
      <c r="AA455" s="17">
        <f t="shared" si="38"/>
        <v>0</v>
      </c>
      <c r="AC455" s="33">
        <f t="shared" si="36"/>
        <v>0</v>
      </c>
    </row>
    <row r="456" spans="1:29">
      <c r="A456" s="34"/>
      <c r="B456" s="34"/>
      <c r="C456" s="34"/>
      <c r="D456" s="34"/>
      <c r="K456" s="17">
        <f t="shared" si="39"/>
        <v>0</v>
      </c>
      <c r="U456" s="17">
        <f t="shared" si="40"/>
        <v>0</v>
      </c>
      <c r="AA456" s="17">
        <f>+I456-Q456-Y456</f>
        <v>0</v>
      </c>
      <c r="AC456" s="33">
        <f t="shared" si="36"/>
        <v>0</v>
      </c>
    </row>
    <row r="457" spans="1:29">
      <c r="A457" s="34"/>
      <c r="B457" s="34"/>
      <c r="C457" s="34"/>
      <c r="D457" s="34"/>
      <c r="K457" s="17">
        <f t="shared" si="39"/>
        <v>0</v>
      </c>
      <c r="U457" s="17">
        <f t="shared" si="40"/>
        <v>0</v>
      </c>
      <c r="AA457" s="17">
        <f t="shared" si="38"/>
        <v>0</v>
      </c>
      <c r="AC457" s="33">
        <f t="shared" si="36"/>
        <v>0</v>
      </c>
    </row>
    <row r="458" spans="1:29">
      <c r="A458" s="34"/>
      <c r="B458" s="34"/>
      <c r="C458" s="34"/>
      <c r="D458" s="34"/>
      <c r="K458" s="17">
        <f t="shared" si="39"/>
        <v>0</v>
      </c>
      <c r="U458" s="17">
        <f t="shared" si="40"/>
        <v>0</v>
      </c>
      <c r="AA458" s="17">
        <f t="shared" si="38"/>
        <v>0</v>
      </c>
      <c r="AC458" s="33">
        <f t="shared" si="36"/>
        <v>0</v>
      </c>
    </row>
    <row r="459" spans="1:29">
      <c r="A459" s="34"/>
      <c r="B459" s="34"/>
      <c r="C459" s="34"/>
      <c r="D459" s="34"/>
      <c r="K459" s="17">
        <f t="shared" si="39"/>
        <v>0</v>
      </c>
      <c r="U459" s="17">
        <f t="shared" si="40"/>
        <v>0</v>
      </c>
      <c r="AA459" s="17">
        <f>+I459-Q459-Y459</f>
        <v>0</v>
      </c>
      <c r="AC459" s="33">
        <f t="shared" si="36"/>
        <v>0</v>
      </c>
    </row>
    <row r="460" spans="1:29">
      <c r="A460" s="34"/>
      <c r="B460" s="34"/>
      <c r="C460" s="34"/>
      <c r="D460" s="34"/>
      <c r="K460" s="17">
        <f t="shared" si="39"/>
        <v>0</v>
      </c>
      <c r="U460" s="17">
        <f t="shared" si="40"/>
        <v>0</v>
      </c>
      <c r="AA460" s="17">
        <f t="shared" si="38"/>
        <v>0</v>
      </c>
      <c r="AC460" s="33">
        <f t="shared" si="36"/>
        <v>0</v>
      </c>
    </row>
    <row r="461" spans="1:29">
      <c r="A461" s="34"/>
      <c r="B461" s="34"/>
      <c r="C461" s="34"/>
      <c r="D461" s="34"/>
      <c r="K461" s="17">
        <f t="shared" si="39"/>
        <v>0</v>
      </c>
      <c r="U461" s="17">
        <f t="shared" si="40"/>
        <v>0</v>
      </c>
      <c r="AA461" s="17">
        <f t="shared" si="38"/>
        <v>0</v>
      </c>
      <c r="AC461" s="33">
        <f t="shared" si="36"/>
        <v>0</v>
      </c>
    </row>
    <row r="462" spans="1:29">
      <c r="A462" s="34"/>
      <c r="B462" s="34"/>
      <c r="C462" s="34"/>
      <c r="D462" s="34"/>
      <c r="K462" s="17">
        <f t="shared" si="39"/>
        <v>0</v>
      </c>
      <c r="U462" s="17">
        <f t="shared" si="40"/>
        <v>0</v>
      </c>
      <c r="AA462" s="17">
        <f t="shared" si="38"/>
        <v>0</v>
      </c>
      <c r="AC462" s="33">
        <f t="shared" si="36"/>
        <v>0</v>
      </c>
    </row>
    <row r="463" spans="1:29">
      <c r="A463" s="34"/>
      <c r="B463" s="34"/>
      <c r="C463" s="34"/>
      <c r="D463" s="34"/>
      <c r="K463" s="17">
        <f t="shared" si="39"/>
        <v>0</v>
      </c>
      <c r="U463" s="17">
        <f t="shared" si="40"/>
        <v>0</v>
      </c>
      <c r="AA463" s="17">
        <f t="shared" si="38"/>
        <v>0</v>
      </c>
      <c r="AC463" s="33">
        <f t="shared" si="36"/>
        <v>0</v>
      </c>
    </row>
    <row r="464" spans="1:29">
      <c r="A464" s="34"/>
      <c r="B464" s="34"/>
      <c r="C464" s="34"/>
      <c r="D464" s="34"/>
      <c r="K464" s="17">
        <f t="shared" si="39"/>
        <v>0</v>
      </c>
      <c r="U464" s="17">
        <f t="shared" si="40"/>
        <v>0</v>
      </c>
      <c r="AA464" s="17">
        <f t="shared" si="38"/>
        <v>0</v>
      </c>
      <c r="AC464" s="33">
        <f t="shared" si="36"/>
        <v>0</v>
      </c>
    </row>
    <row r="465" spans="1:29">
      <c r="A465" s="34"/>
      <c r="B465" s="34"/>
      <c r="C465" s="34"/>
      <c r="D465" s="34"/>
      <c r="K465" s="17">
        <f t="shared" si="39"/>
        <v>0</v>
      </c>
      <c r="U465" s="17">
        <f t="shared" si="40"/>
        <v>0</v>
      </c>
      <c r="AA465" s="17">
        <f t="shared" si="38"/>
        <v>0</v>
      </c>
      <c r="AC465" s="33">
        <f t="shared" si="36"/>
        <v>0</v>
      </c>
    </row>
    <row r="466" spans="1:29">
      <c r="A466" s="34"/>
      <c r="B466" s="34"/>
      <c r="C466" s="34"/>
      <c r="D466" s="34"/>
      <c r="K466" s="17">
        <f t="shared" si="39"/>
        <v>0</v>
      </c>
      <c r="U466" s="17">
        <f t="shared" si="40"/>
        <v>0</v>
      </c>
      <c r="AA466" s="17">
        <f t="shared" si="38"/>
        <v>0</v>
      </c>
      <c r="AC466" s="33">
        <f t="shared" si="36"/>
        <v>0</v>
      </c>
    </row>
    <row r="467" spans="1:29">
      <c r="A467" s="34"/>
      <c r="B467" s="34"/>
      <c r="C467" s="34"/>
      <c r="D467" s="34"/>
      <c r="K467" s="17">
        <f t="shared" si="39"/>
        <v>0</v>
      </c>
      <c r="U467" s="17">
        <f t="shared" si="40"/>
        <v>0</v>
      </c>
      <c r="AA467" s="17">
        <f t="shared" si="38"/>
        <v>0</v>
      </c>
      <c r="AC467" s="33">
        <f t="shared" si="36"/>
        <v>0</v>
      </c>
    </row>
    <row r="468" spans="1:29">
      <c r="A468" s="34"/>
      <c r="B468" s="34"/>
      <c r="C468" s="30"/>
      <c r="D468" s="34"/>
      <c r="K468" s="17">
        <f t="shared" si="39"/>
        <v>0</v>
      </c>
      <c r="U468" s="17">
        <f t="shared" si="40"/>
        <v>0</v>
      </c>
      <c r="AA468" s="17">
        <f>+I468-Q468-Y468</f>
        <v>0</v>
      </c>
      <c r="AC468" s="33">
        <f t="shared" si="36"/>
        <v>0</v>
      </c>
    </row>
    <row r="469" spans="1:29">
      <c r="A469" s="34"/>
      <c r="B469" s="34"/>
      <c r="C469" s="34"/>
      <c r="D469" s="34"/>
      <c r="K469" s="17">
        <f t="shared" si="39"/>
        <v>0</v>
      </c>
      <c r="U469" s="17">
        <f t="shared" si="40"/>
        <v>0</v>
      </c>
      <c r="AA469" s="17">
        <f t="shared" si="38"/>
        <v>0</v>
      </c>
      <c r="AC469" s="33">
        <f t="shared" si="36"/>
        <v>0</v>
      </c>
    </row>
    <row r="470" spans="1:29">
      <c r="A470" s="34"/>
      <c r="B470" s="34"/>
      <c r="C470" s="34"/>
      <c r="D470" s="34"/>
      <c r="K470" s="17">
        <f t="shared" si="39"/>
        <v>0</v>
      </c>
      <c r="U470" s="17">
        <f t="shared" si="40"/>
        <v>0</v>
      </c>
      <c r="AA470" s="17">
        <f>+I470-Q470-Y470</f>
        <v>0</v>
      </c>
      <c r="AC470" s="33">
        <f t="shared" si="36"/>
        <v>0</v>
      </c>
    </row>
    <row r="471" spans="1:29">
      <c r="A471" s="34"/>
      <c r="B471" s="34"/>
      <c r="C471" s="34"/>
      <c r="D471" s="34"/>
      <c r="K471" s="17">
        <f t="shared" si="39"/>
        <v>0</v>
      </c>
      <c r="U471" s="17">
        <f t="shared" si="40"/>
        <v>0</v>
      </c>
      <c r="AA471" s="17">
        <f t="shared" si="38"/>
        <v>0</v>
      </c>
      <c r="AC471" s="33">
        <f t="shared" si="36"/>
        <v>0</v>
      </c>
    </row>
    <row r="472" spans="1:29">
      <c r="A472" s="34"/>
      <c r="B472" s="34"/>
      <c r="C472" s="34"/>
      <c r="D472" s="34"/>
      <c r="K472" s="17">
        <f t="shared" si="39"/>
        <v>0</v>
      </c>
      <c r="U472" s="17">
        <f t="shared" si="40"/>
        <v>0</v>
      </c>
      <c r="AA472" s="17">
        <f t="shared" si="38"/>
        <v>0</v>
      </c>
      <c r="AC472" s="33">
        <f t="shared" si="36"/>
        <v>0</v>
      </c>
    </row>
    <row r="473" spans="1:29">
      <c r="A473" s="34"/>
      <c r="B473" s="34"/>
      <c r="C473" s="34"/>
      <c r="D473" s="34"/>
      <c r="K473" s="17">
        <f t="shared" si="39"/>
        <v>0</v>
      </c>
      <c r="U473" s="17">
        <f t="shared" si="40"/>
        <v>0</v>
      </c>
      <c r="AA473" s="17">
        <f t="shared" si="38"/>
        <v>0</v>
      </c>
      <c r="AC473" s="33">
        <f t="shared" ref="AC473:AC539" si="45">+E473+G473+-K473-M473-S473-U473-W473-O473</f>
        <v>0</v>
      </c>
    </row>
    <row r="474" spans="1:29">
      <c r="A474" s="34"/>
      <c r="B474" s="34"/>
      <c r="C474" s="34"/>
      <c r="D474" s="34"/>
      <c r="K474" s="17">
        <f t="shared" si="39"/>
        <v>0</v>
      </c>
      <c r="U474" s="17">
        <f t="shared" si="40"/>
        <v>0</v>
      </c>
      <c r="AA474" s="17">
        <f t="shared" si="38"/>
        <v>0</v>
      </c>
      <c r="AC474" s="33">
        <f t="shared" si="45"/>
        <v>0</v>
      </c>
    </row>
    <row r="475" spans="1:29">
      <c r="A475" s="34"/>
      <c r="B475" s="34"/>
      <c r="C475" s="34"/>
      <c r="D475" s="34"/>
      <c r="K475" s="17">
        <f t="shared" si="39"/>
        <v>0</v>
      </c>
      <c r="U475" s="17">
        <f t="shared" si="40"/>
        <v>0</v>
      </c>
      <c r="AA475" s="17">
        <f t="shared" si="38"/>
        <v>0</v>
      </c>
      <c r="AC475" s="33">
        <f t="shared" si="45"/>
        <v>0</v>
      </c>
    </row>
    <row r="476" spans="1:29">
      <c r="A476" s="34"/>
      <c r="B476" s="34"/>
      <c r="C476" s="34"/>
      <c r="D476" s="34"/>
      <c r="K476" s="17">
        <f>+Q476-M476-O476</f>
        <v>0</v>
      </c>
      <c r="U476" s="17">
        <f>Y476-W476-S476</f>
        <v>0</v>
      </c>
      <c r="AA476" s="17">
        <f t="shared" ref="AA476:AA542" si="46">+I476-Q476-Y476</f>
        <v>0</v>
      </c>
      <c r="AC476" s="33">
        <f t="shared" si="45"/>
        <v>0</v>
      </c>
    </row>
    <row r="477" spans="1:29">
      <c r="A477" s="34"/>
      <c r="B477" s="34"/>
      <c r="C477" s="34"/>
      <c r="D477" s="34"/>
      <c r="K477" s="17">
        <f t="shared" si="39"/>
        <v>0</v>
      </c>
      <c r="U477" s="17">
        <f t="shared" si="40"/>
        <v>0</v>
      </c>
      <c r="AA477" s="17">
        <f>+I477-Q477-Y477</f>
        <v>0</v>
      </c>
      <c r="AC477" s="33">
        <f>+E477+G477+-K477-M477-S477-U477-W477-O477</f>
        <v>0</v>
      </c>
    </row>
    <row r="478" spans="1:29">
      <c r="A478" s="34"/>
      <c r="B478" s="34"/>
      <c r="C478" s="34"/>
      <c r="D478" s="34"/>
      <c r="K478" s="17">
        <f t="shared" si="39"/>
        <v>0</v>
      </c>
      <c r="U478" s="17">
        <f t="shared" si="40"/>
        <v>0</v>
      </c>
      <c r="AA478" s="17">
        <f t="shared" si="46"/>
        <v>0</v>
      </c>
      <c r="AC478" s="33">
        <f t="shared" si="45"/>
        <v>0</v>
      </c>
    </row>
    <row r="479" spans="1:29">
      <c r="A479" s="34"/>
      <c r="B479" s="34"/>
      <c r="C479" s="34"/>
      <c r="D479" s="34"/>
      <c r="K479" s="17">
        <f t="shared" si="39"/>
        <v>0</v>
      </c>
      <c r="U479" s="17">
        <f t="shared" si="40"/>
        <v>0</v>
      </c>
      <c r="AA479" s="17">
        <f t="shared" si="46"/>
        <v>0</v>
      </c>
      <c r="AC479" s="33">
        <f t="shared" si="45"/>
        <v>0</v>
      </c>
    </row>
    <row r="480" spans="1:29">
      <c r="A480" s="34"/>
      <c r="B480" s="34"/>
      <c r="C480" s="34"/>
      <c r="D480" s="34"/>
      <c r="K480" s="17">
        <f t="shared" si="39"/>
        <v>0</v>
      </c>
      <c r="U480" s="17">
        <f t="shared" si="40"/>
        <v>0</v>
      </c>
      <c r="AA480" s="17">
        <f t="shared" si="46"/>
        <v>0</v>
      </c>
      <c r="AC480" s="33">
        <f t="shared" si="45"/>
        <v>0</v>
      </c>
    </row>
    <row r="481" spans="1:29">
      <c r="A481" s="34"/>
      <c r="B481" s="34"/>
      <c r="C481" s="34"/>
      <c r="D481" s="34"/>
      <c r="K481" s="17">
        <f t="shared" si="39"/>
        <v>0</v>
      </c>
      <c r="U481" s="17">
        <f t="shared" si="40"/>
        <v>0</v>
      </c>
      <c r="AA481" s="17">
        <f t="shared" si="46"/>
        <v>0</v>
      </c>
      <c r="AC481" s="33">
        <f t="shared" si="45"/>
        <v>0</v>
      </c>
    </row>
    <row r="482" spans="1:29">
      <c r="A482" s="34"/>
      <c r="B482" s="34"/>
      <c r="C482" s="34"/>
      <c r="D482" s="34"/>
      <c r="K482" s="17">
        <f t="shared" si="39"/>
        <v>0</v>
      </c>
      <c r="U482" s="17">
        <f t="shared" si="40"/>
        <v>0</v>
      </c>
      <c r="AA482" s="17">
        <f t="shared" si="46"/>
        <v>0</v>
      </c>
      <c r="AC482" s="33">
        <f t="shared" si="45"/>
        <v>0</v>
      </c>
    </row>
    <row r="483" spans="1:29">
      <c r="A483" s="34"/>
      <c r="B483" s="34"/>
      <c r="C483" s="34"/>
      <c r="D483" s="34"/>
      <c r="K483" s="17">
        <f t="shared" si="39"/>
        <v>0</v>
      </c>
      <c r="U483" s="17">
        <f t="shared" si="40"/>
        <v>0</v>
      </c>
      <c r="AA483" s="17">
        <f t="shared" si="46"/>
        <v>0</v>
      </c>
      <c r="AC483" s="33">
        <f t="shared" si="45"/>
        <v>0</v>
      </c>
    </row>
    <row r="484" spans="1:29">
      <c r="A484" s="34"/>
      <c r="B484" s="34"/>
      <c r="C484" s="34"/>
      <c r="D484" s="34"/>
      <c r="K484" s="17">
        <f t="shared" ref="K484:K547" si="47">+Q484-M484-O484</f>
        <v>0</v>
      </c>
      <c r="U484" s="17">
        <f t="shared" ref="U484:U547" si="48">Y484-W484-S484</f>
        <v>0</v>
      </c>
      <c r="AA484" s="17">
        <f>+I484-Q484-Y484</f>
        <v>0</v>
      </c>
      <c r="AC484" s="33">
        <f t="shared" si="45"/>
        <v>0</v>
      </c>
    </row>
    <row r="485" spans="1:29">
      <c r="A485" s="34"/>
      <c r="B485" s="34"/>
      <c r="C485" s="34"/>
      <c r="D485" s="34"/>
      <c r="K485" s="17">
        <f t="shared" si="47"/>
        <v>0</v>
      </c>
      <c r="U485" s="17">
        <f t="shared" si="48"/>
        <v>0</v>
      </c>
      <c r="AA485" s="17">
        <f t="shared" si="46"/>
        <v>0</v>
      </c>
      <c r="AC485" s="33">
        <f t="shared" si="45"/>
        <v>0</v>
      </c>
    </row>
    <row r="486" spans="1:29">
      <c r="A486" s="34"/>
      <c r="B486" s="34"/>
      <c r="C486" s="34"/>
      <c r="D486" s="34"/>
      <c r="K486" s="17">
        <f t="shared" si="47"/>
        <v>0</v>
      </c>
      <c r="U486" s="17">
        <f t="shared" si="48"/>
        <v>0</v>
      </c>
      <c r="AA486" s="17">
        <f t="shared" si="46"/>
        <v>0</v>
      </c>
      <c r="AC486" s="33">
        <f t="shared" si="45"/>
        <v>0</v>
      </c>
    </row>
    <row r="487" spans="1:29">
      <c r="A487" s="30"/>
      <c r="B487" s="30"/>
      <c r="C487" s="30"/>
      <c r="D487" s="30"/>
      <c r="K487" s="17">
        <f t="shared" si="47"/>
        <v>0</v>
      </c>
      <c r="U487" s="17">
        <f t="shared" si="48"/>
        <v>0</v>
      </c>
      <c r="AA487" s="17">
        <f t="shared" si="46"/>
        <v>0</v>
      </c>
      <c r="AC487" s="17">
        <f t="shared" si="45"/>
        <v>0</v>
      </c>
    </row>
    <row r="488" spans="1:29">
      <c r="A488" s="30"/>
      <c r="B488" s="30"/>
      <c r="C488" s="30"/>
      <c r="D488" s="30"/>
    </row>
    <row r="489" spans="1:29">
      <c r="A489" s="30"/>
      <c r="B489" s="30"/>
      <c r="C489" s="30"/>
      <c r="D489" s="30"/>
    </row>
    <row r="490" spans="1:29" s="33" customFormat="1">
      <c r="A490" s="31"/>
      <c r="B490" s="31"/>
      <c r="C490" s="31"/>
      <c r="D490" s="31"/>
      <c r="K490" s="33">
        <f t="shared" si="47"/>
        <v>0</v>
      </c>
      <c r="U490" s="33">
        <f t="shared" si="48"/>
        <v>0</v>
      </c>
      <c r="AA490" s="33">
        <f t="shared" si="46"/>
        <v>0</v>
      </c>
      <c r="AC490" s="33">
        <f t="shared" si="45"/>
        <v>0</v>
      </c>
    </row>
    <row r="491" spans="1:29">
      <c r="A491" s="34"/>
      <c r="B491" s="34"/>
      <c r="C491" s="34"/>
      <c r="D491" s="34"/>
      <c r="K491" s="17">
        <f t="shared" si="47"/>
        <v>0</v>
      </c>
      <c r="U491" s="17">
        <f t="shared" si="48"/>
        <v>0</v>
      </c>
      <c r="AA491" s="17">
        <f t="shared" si="46"/>
        <v>0</v>
      </c>
      <c r="AC491" s="33">
        <f t="shared" si="45"/>
        <v>0</v>
      </c>
    </row>
    <row r="492" spans="1:29">
      <c r="A492" s="34"/>
      <c r="B492" s="34"/>
      <c r="C492" s="34"/>
      <c r="D492" s="34"/>
      <c r="K492" s="17">
        <f t="shared" si="47"/>
        <v>0</v>
      </c>
      <c r="U492" s="17">
        <f t="shared" si="48"/>
        <v>0</v>
      </c>
      <c r="AA492" s="17">
        <f t="shared" si="46"/>
        <v>0</v>
      </c>
      <c r="AC492" s="33">
        <f t="shared" si="45"/>
        <v>0</v>
      </c>
    </row>
    <row r="493" spans="1:29">
      <c r="A493" s="34"/>
      <c r="B493" s="34"/>
      <c r="C493" s="34"/>
      <c r="D493" s="34"/>
      <c r="K493" s="17">
        <f t="shared" si="47"/>
        <v>0</v>
      </c>
      <c r="U493" s="17">
        <f t="shared" si="48"/>
        <v>0</v>
      </c>
      <c r="AA493" s="17">
        <f t="shared" si="46"/>
        <v>0</v>
      </c>
      <c r="AC493" s="33">
        <f t="shared" si="45"/>
        <v>0</v>
      </c>
    </row>
    <row r="494" spans="1:29">
      <c r="A494" s="34"/>
      <c r="B494" s="34"/>
      <c r="C494" s="34"/>
      <c r="D494" s="34"/>
      <c r="K494" s="17">
        <f t="shared" si="47"/>
        <v>0</v>
      </c>
      <c r="U494" s="17">
        <f t="shared" si="48"/>
        <v>0</v>
      </c>
      <c r="AA494" s="17">
        <f t="shared" si="46"/>
        <v>0</v>
      </c>
      <c r="AC494" s="33">
        <f t="shared" si="45"/>
        <v>0</v>
      </c>
    </row>
    <row r="495" spans="1:29">
      <c r="A495" s="34"/>
      <c r="B495" s="34"/>
      <c r="C495" s="34"/>
      <c r="D495" s="34"/>
      <c r="K495" s="17">
        <f t="shared" si="47"/>
        <v>0</v>
      </c>
      <c r="U495" s="17">
        <f t="shared" si="48"/>
        <v>0</v>
      </c>
      <c r="AA495" s="17">
        <f t="shared" si="46"/>
        <v>0</v>
      </c>
      <c r="AC495" s="33">
        <f t="shared" si="45"/>
        <v>0</v>
      </c>
    </row>
    <row r="496" spans="1:29">
      <c r="A496" s="34"/>
      <c r="B496" s="34"/>
      <c r="C496" s="34"/>
      <c r="D496" s="34"/>
      <c r="K496" s="17">
        <f t="shared" si="47"/>
        <v>0</v>
      </c>
      <c r="U496" s="17">
        <f t="shared" si="48"/>
        <v>0</v>
      </c>
      <c r="AA496" s="17">
        <f t="shared" si="46"/>
        <v>0</v>
      </c>
      <c r="AC496" s="33">
        <f t="shared" si="45"/>
        <v>0</v>
      </c>
    </row>
    <row r="497" spans="1:29">
      <c r="A497" s="30"/>
      <c r="B497" s="30"/>
      <c r="C497" s="30"/>
      <c r="D497" s="30"/>
      <c r="K497" s="17">
        <f t="shared" si="47"/>
        <v>0</v>
      </c>
      <c r="U497" s="17">
        <f t="shared" si="48"/>
        <v>0</v>
      </c>
      <c r="AA497" s="17">
        <f t="shared" si="46"/>
        <v>0</v>
      </c>
      <c r="AC497" s="17">
        <f t="shared" si="45"/>
        <v>0</v>
      </c>
    </row>
    <row r="498" spans="1:29">
      <c r="A498" s="34"/>
      <c r="B498" s="34"/>
      <c r="C498" s="34"/>
      <c r="D498" s="34"/>
      <c r="K498" s="17">
        <f t="shared" si="47"/>
        <v>0</v>
      </c>
      <c r="U498" s="17">
        <f t="shared" si="48"/>
        <v>0</v>
      </c>
      <c r="AA498" s="17">
        <f t="shared" si="46"/>
        <v>0</v>
      </c>
      <c r="AC498" s="33">
        <f t="shared" si="45"/>
        <v>0</v>
      </c>
    </row>
    <row r="499" spans="1:29">
      <c r="A499" s="30"/>
      <c r="B499" s="30"/>
      <c r="C499" s="30"/>
      <c r="D499" s="30"/>
      <c r="K499" s="17">
        <f t="shared" si="47"/>
        <v>0</v>
      </c>
      <c r="U499" s="17">
        <f t="shared" si="48"/>
        <v>0</v>
      </c>
      <c r="AA499" s="17">
        <f t="shared" si="46"/>
        <v>0</v>
      </c>
      <c r="AC499" s="17">
        <f t="shared" si="45"/>
        <v>0</v>
      </c>
    </row>
    <row r="500" spans="1:29">
      <c r="A500" s="34"/>
      <c r="B500" s="34"/>
      <c r="C500" s="34"/>
      <c r="D500" s="34"/>
      <c r="K500" s="17">
        <f t="shared" si="47"/>
        <v>0</v>
      </c>
      <c r="U500" s="17">
        <f t="shared" si="48"/>
        <v>0</v>
      </c>
      <c r="AA500" s="17">
        <f t="shared" si="46"/>
        <v>0</v>
      </c>
      <c r="AC500" s="33">
        <f t="shared" si="45"/>
        <v>0</v>
      </c>
    </row>
    <row r="501" spans="1:29">
      <c r="A501" s="34"/>
      <c r="B501" s="34"/>
      <c r="C501" s="34"/>
      <c r="D501" s="34"/>
      <c r="K501" s="17">
        <f t="shared" si="47"/>
        <v>0</v>
      </c>
      <c r="U501" s="17">
        <f t="shared" si="48"/>
        <v>0</v>
      </c>
      <c r="AA501" s="17">
        <f t="shared" si="46"/>
        <v>0</v>
      </c>
      <c r="AC501" s="33">
        <f t="shared" si="45"/>
        <v>0</v>
      </c>
    </row>
    <row r="502" spans="1:29">
      <c r="A502" s="34"/>
      <c r="B502" s="34"/>
      <c r="C502" s="34"/>
      <c r="D502" s="34"/>
      <c r="K502" s="17">
        <f t="shared" si="47"/>
        <v>0</v>
      </c>
      <c r="U502" s="17">
        <f t="shared" si="48"/>
        <v>0</v>
      </c>
      <c r="AA502" s="17">
        <f t="shared" si="46"/>
        <v>0</v>
      </c>
      <c r="AC502" s="33">
        <f t="shared" si="45"/>
        <v>0</v>
      </c>
    </row>
    <row r="503" spans="1:29">
      <c r="A503" s="34"/>
      <c r="B503" s="34"/>
      <c r="C503" s="34"/>
      <c r="D503" s="34"/>
      <c r="K503" s="17">
        <f t="shared" si="47"/>
        <v>0</v>
      </c>
      <c r="U503" s="17">
        <f t="shared" si="48"/>
        <v>0</v>
      </c>
      <c r="AA503" s="17">
        <f t="shared" si="46"/>
        <v>0</v>
      </c>
      <c r="AC503" s="33">
        <f t="shared" si="45"/>
        <v>0</v>
      </c>
    </row>
    <row r="504" spans="1:29">
      <c r="A504" s="34"/>
      <c r="B504" s="34"/>
      <c r="C504" s="34"/>
      <c r="D504" s="34"/>
      <c r="K504" s="17">
        <f t="shared" si="47"/>
        <v>0</v>
      </c>
      <c r="U504" s="17">
        <f t="shared" si="48"/>
        <v>0</v>
      </c>
      <c r="AA504" s="17">
        <f t="shared" si="46"/>
        <v>0</v>
      </c>
      <c r="AC504" s="33">
        <f t="shared" si="45"/>
        <v>0</v>
      </c>
    </row>
    <row r="505" spans="1:29">
      <c r="A505" s="34"/>
      <c r="B505" s="34"/>
      <c r="C505" s="34"/>
      <c r="D505" s="34"/>
      <c r="K505" s="17">
        <f t="shared" si="47"/>
        <v>0</v>
      </c>
      <c r="U505" s="17">
        <f t="shared" si="48"/>
        <v>0</v>
      </c>
      <c r="AA505" s="17">
        <f t="shared" si="46"/>
        <v>0</v>
      </c>
      <c r="AC505" s="33">
        <f t="shared" si="45"/>
        <v>0</v>
      </c>
    </row>
    <row r="506" spans="1:29">
      <c r="A506" s="34"/>
      <c r="B506" s="34"/>
      <c r="C506" s="34"/>
      <c r="D506" s="34"/>
      <c r="K506" s="17">
        <f t="shared" si="47"/>
        <v>0</v>
      </c>
      <c r="U506" s="17">
        <f t="shared" si="48"/>
        <v>0</v>
      </c>
      <c r="AA506" s="17">
        <f t="shared" si="46"/>
        <v>0</v>
      </c>
      <c r="AC506" s="33">
        <f t="shared" si="45"/>
        <v>0</v>
      </c>
    </row>
    <row r="507" spans="1:29">
      <c r="A507" s="34"/>
      <c r="B507" s="34"/>
      <c r="C507" s="34"/>
      <c r="D507" s="34"/>
      <c r="K507" s="17">
        <f t="shared" si="47"/>
        <v>0</v>
      </c>
      <c r="U507" s="17">
        <f t="shared" si="48"/>
        <v>0</v>
      </c>
      <c r="AA507" s="17">
        <f t="shared" si="46"/>
        <v>0</v>
      </c>
      <c r="AC507" s="33">
        <f t="shared" si="45"/>
        <v>0</v>
      </c>
    </row>
    <row r="508" spans="1:29">
      <c r="A508" s="34"/>
      <c r="B508" s="34"/>
      <c r="C508" s="34"/>
      <c r="D508" s="34"/>
      <c r="K508" s="17">
        <f t="shared" si="47"/>
        <v>0</v>
      </c>
      <c r="U508" s="17">
        <f t="shared" si="48"/>
        <v>0</v>
      </c>
      <c r="AA508" s="17">
        <f t="shared" si="46"/>
        <v>0</v>
      </c>
      <c r="AC508" s="33">
        <f t="shared" si="45"/>
        <v>0</v>
      </c>
    </row>
    <row r="509" spans="1:29">
      <c r="A509" s="34"/>
      <c r="B509" s="34"/>
      <c r="C509" s="34"/>
      <c r="D509" s="34"/>
      <c r="K509" s="17">
        <f t="shared" si="47"/>
        <v>0</v>
      </c>
      <c r="U509" s="17">
        <f t="shared" si="48"/>
        <v>0</v>
      </c>
      <c r="AA509" s="17">
        <f t="shared" si="46"/>
        <v>0</v>
      </c>
      <c r="AC509" s="33">
        <f t="shared" si="45"/>
        <v>0</v>
      </c>
    </row>
    <row r="510" spans="1:29">
      <c r="A510" s="34"/>
      <c r="B510" s="34"/>
      <c r="C510" s="34"/>
      <c r="D510" s="34"/>
      <c r="K510" s="17">
        <f t="shared" si="47"/>
        <v>0</v>
      </c>
      <c r="U510" s="17">
        <f t="shared" si="48"/>
        <v>0</v>
      </c>
      <c r="AA510" s="17">
        <f t="shared" si="46"/>
        <v>0</v>
      </c>
      <c r="AC510" s="33">
        <f t="shared" si="45"/>
        <v>0</v>
      </c>
    </row>
    <row r="511" spans="1:29">
      <c r="A511" s="34"/>
      <c r="B511" s="34"/>
      <c r="C511" s="34"/>
      <c r="D511" s="34"/>
      <c r="K511" s="17">
        <f t="shared" si="47"/>
        <v>0</v>
      </c>
      <c r="U511" s="17">
        <f t="shared" si="48"/>
        <v>0</v>
      </c>
      <c r="AA511" s="17">
        <f t="shared" si="46"/>
        <v>0</v>
      </c>
      <c r="AC511" s="33">
        <f t="shared" si="45"/>
        <v>0</v>
      </c>
    </row>
    <row r="512" spans="1:29">
      <c r="A512" s="34"/>
      <c r="B512" s="34"/>
      <c r="C512" s="34"/>
      <c r="D512" s="34"/>
      <c r="K512" s="17">
        <f>+Q512-M512-O512</f>
        <v>0</v>
      </c>
      <c r="U512" s="17">
        <f>Y512-W512-S512</f>
        <v>0</v>
      </c>
      <c r="AA512" s="17">
        <f>+I512-Q512-Y512</f>
        <v>0</v>
      </c>
      <c r="AC512" s="33">
        <f>+E512+G512+-K512-M512-S512-U512-W512-O512</f>
        <v>0</v>
      </c>
    </row>
    <row r="513" spans="1:29">
      <c r="A513" s="34"/>
      <c r="B513" s="34"/>
      <c r="C513" s="34"/>
      <c r="D513" s="34"/>
      <c r="K513" s="17">
        <f t="shared" si="47"/>
        <v>0</v>
      </c>
      <c r="U513" s="17">
        <f t="shared" si="48"/>
        <v>0</v>
      </c>
      <c r="AA513" s="17">
        <f t="shared" si="46"/>
        <v>0</v>
      </c>
      <c r="AC513" s="33">
        <f t="shared" si="45"/>
        <v>0</v>
      </c>
    </row>
    <row r="514" spans="1:29">
      <c r="A514" s="34"/>
      <c r="B514" s="34"/>
      <c r="C514" s="34"/>
      <c r="D514" s="34"/>
      <c r="K514" s="17">
        <f t="shared" si="47"/>
        <v>0</v>
      </c>
      <c r="U514" s="17">
        <f t="shared" si="48"/>
        <v>0</v>
      </c>
      <c r="AA514" s="17">
        <f t="shared" si="46"/>
        <v>0</v>
      </c>
      <c r="AC514" s="33">
        <f t="shared" si="45"/>
        <v>0</v>
      </c>
    </row>
    <row r="515" spans="1:29">
      <c r="A515" s="34"/>
      <c r="B515" s="34"/>
      <c r="C515" s="34"/>
      <c r="D515" s="34"/>
      <c r="K515" s="17">
        <f t="shared" si="47"/>
        <v>0</v>
      </c>
      <c r="U515" s="17">
        <f t="shared" si="48"/>
        <v>0</v>
      </c>
      <c r="AA515" s="17">
        <f t="shared" si="46"/>
        <v>0</v>
      </c>
      <c r="AC515" s="33">
        <f t="shared" si="45"/>
        <v>0</v>
      </c>
    </row>
    <row r="516" spans="1:29">
      <c r="A516" s="34"/>
      <c r="B516" s="34"/>
      <c r="C516" s="34"/>
      <c r="D516" s="34"/>
      <c r="K516" s="17">
        <f t="shared" si="47"/>
        <v>0</v>
      </c>
      <c r="U516" s="17">
        <f t="shared" si="48"/>
        <v>0</v>
      </c>
      <c r="AA516" s="17">
        <f t="shared" si="46"/>
        <v>0</v>
      </c>
      <c r="AC516" s="33">
        <f t="shared" si="45"/>
        <v>0</v>
      </c>
    </row>
    <row r="517" spans="1:29">
      <c r="A517" s="34"/>
      <c r="B517" s="34"/>
      <c r="C517" s="34"/>
      <c r="D517" s="34"/>
      <c r="K517" s="17">
        <f t="shared" si="47"/>
        <v>0</v>
      </c>
      <c r="U517" s="17">
        <f t="shared" si="48"/>
        <v>0</v>
      </c>
      <c r="AA517" s="17">
        <f t="shared" si="46"/>
        <v>0</v>
      </c>
      <c r="AC517" s="33">
        <f t="shared" si="45"/>
        <v>0</v>
      </c>
    </row>
    <row r="518" spans="1:29">
      <c r="A518" s="34"/>
      <c r="B518" s="34"/>
      <c r="C518" s="34"/>
      <c r="D518" s="34"/>
      <c r="K518" s="17">
        <f t="shared" si="47"/>
        <v>0</v>
      </c>
      <c r="U518" s="17">
        <f t="shared" si="48"/>
        <v>0</v>
      </c>
      <c r="AA518" s="17">
        <f t="shared" si="46"/>
        <v>0</v>
      </c>
      <c r="AC518" s="33">
        <f t="shared" si="45"/>
        <v>0</v>
      </c>
    </row>
    <row r="519" spans="1:29">
      <c r="A519" s="34"/>
      <c r="B519" s="34"/>
      <c r="C519" s="34"/>
      <c r="D519" s="34"/>
      <c r="K519" s="17">
        <f t="shared" si="47"/>
        <v>0</v>
      </c>
      <c r="U519" s="17">
        <f t="shared" si="48"/>
        <v>0</v>
      </c>
      <c r="AA519" s="17">
        <f t="shared" si="46"/>
        <v>0</v>
      </c>
      <c r="AC519" s="33">
        <f t="shared" si="45"/>
        <v>0</v>
      </c>
    </row>
    <row r="520" spans="1:29">
      <c r="A520" s="34"/>
      <c r="B520" s="34"/>
      <c r="C520" s="34"/>
      <c r="D520" s="34"/>
      <c r="K520" s="17">
        <f t="shared" si="47"/>
        <v>0</v>
      </c>
      <c r="U520" s="17">
        <f t="shared" si="48"/>
        <v>0</v>
      </c>
      <c r="AA520" s="17">
        <f>+I520-Q520-Y520</f>
        <v>0</v>
      </c>
      <c r="AC520" s="33">
        <f t="shared" si="45"/>
        <v>0</v>
      </c>
    </row>
    <row r="521" spans="1:29">
      <c r="A521" s="34"/>
      <c r="B521" s="34"/>
      <c r="C521" s="34"/>
      <c r="D521" s="34"/>
      <c r="K521" s="17">
        <f t="shared" si="47"/>
        <v>0</v>
      </c>
      <c r="U521" s="17">
        <f t="shared" si="48"/>
        <v>0</v>
      </c>
      <c r="AA521" s="17">
        <f t="shared" si="46"/>
        <v>0</v>
      </c>
      <c r="AC521" s="33">
        <f t="shared" si="45"/>
        <v>0</v>
      </c>
    </row>
    <row r="522" spans="1:29">
      <c r="A522" s="34"/>
      <c r="B522" s="34"/>
      <c r="C522" s="34"/>
      <c r="D522" s="34"/>
      <c r="K522" s="17">
        <f t="shared" si="47"/>
        <v>0</v>
      </c>
      <c r="U522" s="17">
        <f t="shared" si="48"/>
        <v>0</v>
      </c>
      <c r="AA522" s="17">
        <f t="shared" si="46"/>
        <v>0</v>
      </c>
      <c r="AC522" s="33">
        <f t="shared" si="45"/>
        <v>0</v>
      </c>
    </row>
    <row r="523" spans="1:29">
      <c r="A523" s="34"/>
      <c r="B523" s="34"/>
      <c r="C523" s="34"/>
      <c r="D523" s="34"/>
      <c r="K523" s="17">
        <f t="shared" si="47"/>
        <v>0</v>
      </c>
      <c r="U523" s="17">
        <f t="shared" si="48"/>
        <v>0</v>
      </c>
      <c r="AA523" s="17">
        <f t="shared" si="46"/>
        <v>0</v>
      </c>
      <c r="AC523" s="33">
        <f>+E523+G523+-K523-M523-S523-U523-W523-O523</f>
        <v>0</v>
      </c>
    </row>
    <row r="524" spans="1:29">
      <c r="A524" s="34"/>
      <c r="B524" s="34"/>
      <c r="C524" s="34"/>
      <c r="D524" s="34"/>
      <c r="K524" s="17">
        <f t="shared" si="47"/>
        <v>0</v>
      </c>
      <c r="U524" s="17">
        <f t="shared" si="48"/>
        <v>0</v>
      </c>
      <c r="AA524" s="17">
        <f t="shared" si="46"/>
        <v>0</v>
      </c>
      <c r="AC524" s="33">
        <f t="shared" si="45"/>
        <v>0</v>
      </c>
    </row>
    <row r="525" spans="1:29">
      <c r="A525" s="34"/>
      <c r="B525" s="34"/>
      <c r="C525" s="34"/>
      <c r="D525" s="34"/>
      <c r="K525" s="17">
        <f t="shared" si="47"/>
        <v>0</v>
      </c>
      <c r="U525" s="17">
        <f t="shared" si="48"/>
        <v>0</v>
      </c>
      <c r="AA525" s="17">
        <f t="shared" si="46"/>
        <v>0</v>
      </c>
      <c r="AC525" s="33">
        <f t="shared" si="45"/>
        <v>0</v>
      </c>
    </row>
    <row r="526" spans="1:29">
      <c r="A526" s="34"/>
      <c r="B526" s="34"/>
      <c r="C526" s="34"/>
      <c r="D526" s="34"/>
      <c r="K526" s="17">
        <f t="shared" si="47"/>
        <v>0</v>
      </c>
      <c r="U526" s="17">
        <f t="shared" si="48"/>
        <v>0</v>
      </c>
      <c r="AA526" s="17">
        <f t="shared" si="46"/>
        <v>0</v>
      </c>
      <c r="AC526" s="33">
        <f t="shared" si="45"/>
        <v>0</v>
      </c>
    </row>
    <row r="527" spans="1:29">
      <c r="A527" s="34"/>
      <c r="B527" s="34"/>
      <c r="C527" s="34"/>
      <c r="D527" s="34"/>
      <c r="K527" s="17">
        <f t="shared" si="47"/>
        <v>0</v>
      </c>
      <c r="U527" s="17">
        <f t="shared" si="48"/>
        <v>0</v>
      </c>
      <c r="AA527" s="17">
        <f t="shared" si="46"/>
        <v>0</v>
      </c>
      <c r="AC527" s="33">
        <f t="shared" si="45"/>
        <v>0</v>
      </c>
    </row>
    <row r="528" spans="1:29">
      <c r="A528" s="34"/>
      <c r="B528" s="34"/>
      <c r="C528" s="34"/>
      <c r="D528" s="34"/>
      <c r="K528" s="17">
        <f t="shared" si="47"/>
        <v>0</v>
      </c>
      <c r="U528" s="17">
        <f t="shared" si="48"/>
        <v>0</v>
      </c>
      <c r="AA528" s="17">
        <f t="shared" si="46"/>
        <v>0</v>
      </c>
      <c r="AC528" s="33">
        <f t="shared" si="45"/>
        <v>0</v>
      </c>
    </row>
    <row r="529" spans="1:29">
      <c r="A529" s="34"/>
      <c r="B529" s="34"/>
      <c r="C529" s="34"/>
      <c r="D529" s="34"/>
      <c r="K529" s="17">
        <f t="shared" si="47"/>
        <v>0</v>
      </c>
      <c r="U529" s="17">
        <f t="shared" si="48"/>
        <v>0</v>
      </c>
      <c r="AA529" s="17">
        <f t="shared" si="46"/>
        <v>0</v>
      </c>
      <c r="AC529" s="33">
        <f t="shared" si="45"/>
        <v>0</v>
      </c>
    </row>
    <row r="530" spans="1:29">
      <c r="A530" s="34"/>
      <c r="B530" s="34"/>
      <c r="C530" s="34"/>
      <c r="D530" s="34"/>
      <c r="K530" s="17">
        <f t="shared" si="47"/>
        <v>0</v>
      </c>
      <c r="U530" s="17">
        <f t="shared" si="48"/>
        <v>0</v>
      </c>
      <c r="AA530" s="17">
        <f t="shared" si="46"/>
        <v>0</v>
      </c>
      <c r="AC530" s="33">
        <f t="shared" si="45"/>
        <v>0</v>
      </c>
    </row>
    <row r="531" spans="1:29">
      <c r="A531" s="34"/>
      <c r="B531" s="34"/>
      <c r="C531" s="34"/>
      <c r="D531" s="34"/>
      <c r="K531" s="17">
        <f t="shared" si="47"/>
        <v>0</v>
      </c>
      <c r="U531" s="17">
        <f t="shared" si="48"/>
        <v>0</v>
      </c>
      <c r="AA531" s="17">
        <f t="shared" si="46"/>
        <v>0</v>
      </c>
      <c r="AC531" s="33">
        <f t="shared" si="45"/>
        <v>0</v>
      </c>
    </row>
    <row r="532" spans="1:29">
      <c r="A532" s="34"/>
      <c r="B532" s="34"/>
      <c r="C532" s="34"/>
      <c r="D532" s="34"/>
      <c r="K532" s="17">
        <f t="shared" si="47"/>
        <v>0</v>
      </c>
      <c r="U532" s="17">
        <f t="shared" si="48"/>
        <v>0</v>
      </c>
      <c r="AA532" s="17">
        <f t="shared" si="46"/>
        <v>0</v>
      </c>
      <c r="AC532" s="33">
        <f t="shared" si="45"/>
        <v>0</v>
      </c>
    </row>
    <row r="533" spans="1:29">
      <c r="A533" s="34"/>
      <c r="B533" s="34"/>
      <c r="C533" s="34"/>
      <c r="D533" s="34"/>
      <c r="K533" s="17">
        <f t="shared" si="47"/>
        <v>0</v>
      </c>
      <c r="U533" s="17">
        <f t="shared" si="48"/>
        <v>0</v>
      </c>
      <c r="AA533" s="17">
        <f t="shared" si="46"/>
        <v>0</v>
      </c>
      <c r="AC533" s="33">
        <f t="shared" si="45"/>
        <v>0</v>
      </c>
    </row>
    <row r="534" spans="1:29">
      <c r="A534" s="34"/>
      <c r="B534" s="34"/>
      <c r="C534" s="34"/>
      <c r="D534" s="34"/>
      <c r="K534" s="17">
        <f t="shared" si="47"/>
        <v>0</v>
      </c>
      <c r="U534" s="17">
        <f t="shared" si="48"/>
        <v>0</v>
      </c>
      <c r="AA534" s="17">
        <f t="shared" si="46"/>
        <v>0</v>
      </c>
      <c r="AC534" s="33">
        <f t="shared" si="45"/>
        <v>0</v>
      </c>
    </row>
    <row r="535" spans="1:29">
      <c r="A535" s="34"/>
      <c r="B535" s="34"/>
      <c r="C535" s="34"/>
      <c r="D535" s="34"/>
      <c r="K535" s="17">
        <f t="shared" si="47"/>
        <v>0</v>
      </c>
      <c r="U535" s="17">
        <f t="shared" si="48"/>
        <v>0</v>
      </c>
      <c r="AA535" s="17">
        <f t="shared" si="46"/>
        <v>0</v>
      </c>
      <c r="AC535" s="33">
        <f t="shared" si="45"/>
        <v>0</v>
      </c>
    </row>
    <row r="536" spans="1:29">
      <c r="A536" s="34"/>
      <c r="B536" s="34"/>
      <c r="C536" s="34"/>
      <c r="D536" s="34"/>
      <c r="K536" s="17">
        <f t="shared" si="47"/>
        <v>0</v>
      </c>
      <c r="U536" s="17">
        <f t="shared" si="48"/>
        <v>0</v>
      </c>
      <c r="AA536" s="17">
        <f t="shared" si="46"/>
        <v>0</v>
      </c>
      <c r="AC536" s="33">
        <f t="shared" si="45"/>
        <v>0</v>
      </c>
    </row>
    <row r="537" spans="1:29">
      <c r="A537" s="34"/>
      <c r="B537" s="34"/>
      <c r="C537" s="34"/>
      <c r="D537" s="34"/>
      <c r="K537" s="17">
        <f t="shared" si="47"/>
        <v>0</v>
      </c>
      <c r="U537" s="17">
        <f t="shared" si="48"/>
        <v>0</v>
      </c>
      <c r="AA537" s="17">
        <f t="shared" si="46"/>
        <v>0</v>
      </c>
      <c r="AC537" s="33">
        <f t="shared" si="45"/>
        <v>0</v>
      </c>
    </row>
    <row r="538" spans="1:29">
      <c r="A538" s="34"/>
      <c r="B538" s="34"/>
      <c r="C538" s="34"/>
      <c r="D538" s="34"/>
      <c r="K538" s="17">
        <f t="shared" si="47"/>
        <v>0</v>
      </c>
      <c r="U538" s="17">
        <f t="shared" si="48"/>
        <v>0</v>
      </c>
      <c r="AA538" s="17">
        <f t="shared" si="46"/>
        <v>0</v>
      </c>
      <c r="AC538" s="33">
        <f t="shared" si="45"/>
        <v>0</v>
      </c>
    </row>
    <row r="539" spans="1:29">
      <c r="A539" s="34"/>
      <c r="B539" s="34"/>
      <c r="C539" s="34"/>
      <c r="D539" s="34"/>
      <c r="K539" s="17">
        <f t="shared" si="47"/>
        <v>0</v>
      </c>
      <c r="U539" s="17">
        <f t="shared" si="48"/>
        <v>0</v>
      </c>
      <c r="AA539" s="17">
        <f t="shared" si="46"/>
        <v>0</v>
      </c>
      <c r="AC539" s="33">
        <f t="shared" si="45"/>
        <v>0</v>
      </c>
    </row>
    <row r="540" spans="1:29">
      <c r="A540" s="34"/>
      <c r="B540" s="34"/>
      <c r="C540" s="34"/>
      <c r="D540" s="34"/>
      <c r="K540" s="17">
        <f t="shared" si="47"/>
        <v>0</v>
      </c>
      <c r="U540" s="17">
        <f t="shared" si="48"/>
        <v>0</v>
      </c>
      <c r="AA540" s="17">
        <f t="shared" si="46"/>
        <v>0</v>
      </c>
      <c r="AC540" s="33">
        <f t="shared" ref="AC540:AC592" si="49">+E540+G540+-K540-M540-S540-U540-W540-O540</f>
        <v>0</v>
      </c>
    </row>
    <row r="541" spans="1:29">
      <c r="A541" s="34"/>
      <c r="B541" s="34"/>
      <c r="C541" s="34"/>
      <c r="D541" s="34"/>
      <c r="K541" s="17">
        <f t="shared" si="47"/>
        <v>0</v>
      </c>
      <c r="U541" s="17">
        <f t="shared" si="48"/>
        <v>0</v>
      </c>
      <c r="AA541" s="17">
        <f t="shared" si="46"/>
        <v>0</v>
      </c>
      <c r="AC541" s="33">
        <f t="shared" si="49"/>
        <v>0</v>
      </c>
    </row>
    <row r="542" spans="1:29">
      <c r="A542" s="34"/>
      <c r="B542" s="34"/>
      <c r="C542" s="34"/>
      <c r="D542" s="34"/>
      <c r="K542" s="17">
        <f t="shared" si="47"/>
        <v>0</v>
      </c>
      <c r="U542" s="17">
        <f t="shared" si="48"/>
        <v>0</v>
      </c>
      <c r="AA542" s="17">
        <f t="shared" si="46"/>
        <v>0</v>
      </c>
      <c r="AC542" s="33">
        <f t="shared" si="49"/>
        <v>0</v>
      </c>
    </row>
    <row r="543" spans="1:29">
      <c r="A543" s="34"/>
      <c r="B543" s="34"/>
      <c r="C543" s="34"/>
      <c r="D543" s="34"/>
      <c r="K543" s="17">
        <f t="shared" si="47"/>
        <v>0</v>
      </c>
      <c r="U543" s="17">
        <f t="shared" si="48"/>
        <v>0</v>
      </c>
      <c r="AA543" s="17">
        <f t="shared" ref="AA543:AA595" si="50">+I543-Q543-Y543</f>
        <v>0</v>
      </c>
      <c r="AC543" s="33">
        <f t="shared" si="49"/>
        <v>0</v>
      </c>
    </row>
    <row r="544" spans="1:29">
      <c r="A544" s="34"/>
      <c r="B544" s="34"/>
      <c r="C544" s="34"/>
      <c r="D544" s="34"/>
      <c r="K544" s="17">
        <f>+Q544-M544-O544</f>
        <v>0</v>
      </c>
      <c r="U544" s="17">
        <f>Y544-W544-S544</f>
        <v>0</v>
      </c>
      <c r="AA544" s="17">
        <f>+I544-Q544-Y544</f>
        <v>0</v>
      </c>
      <c r="AC544" s="33">
        <f>+E544+G544+-K544-M544-S544-U544-W544-O544</f>
        <v>0</v>
      </c>
    </row>
    <row r="545" spans="1:29">
      <c r="A545" s="34"/>
      <c r="B545" s="34"/>
      <c r="C545" s="34"/>
      <c r="D545" s="34"/>
      <c r="K545" s="17">
        <f t="shared" si="47"/>
        <v>0</v>
      </c>
      <c r="U545" s="17">
        <f t="shared" si="48"/>
        <v>0</v>
      </c>
      <c r="AA545" s="17">
        <f t="shared" si="50"/>
        <v>0</v>
      </c>
      <c r="AC545" s="33">
        <f t="shared" si="49"/>
        <v>0</v>
      </c>
    </row>
    <row r="546" spans="1:29">
      <c r="A546" s="34"/>
      <c r="B546" s="34"/>
      <c r="C546" s="34"/>
      <c r="D546" s="34"/>
      <c r="K546" s="17">
        <f t="shared" si="47"/>
        <v>0</v>
      </c>
      <c r="U546" s="17">
        <f t="shared" si="48"/>
        <v>0</v>
      </c>
      <c r="AA546" s="17">
        <f t="shared" si="50"/>
        <v>0</v>
      </c>
      <c r="AC546" s="33">
        <f t="shared" si="49"/>
        <v>0</v>
      </c>
    </row>
    <row r="547" spans="1:29">
      <c r="A547" s="34"/>
      <c r="B547" s="34"/>
      <c r="C547" s="34"/>
      <c r="D547" s="34"/>
      <c r="K547" s="17">
        <f t="shared" si="47"/>
        <v>0</v>
      </c>
      <c r="U547" s="17">
        <f t="shared" si="48"/>
        <v>0</v>
      </c>
      <c r="AA547" s="17">
        <f t="shared" si="50"/>
        <v>0</v>
      </c>
      <c r="AC547" s="33">
        <f t="shared" si="49"/>
        <v>0</v>
      </c>
    </row>
    <row r="548" spans="1:29">
      <c r="A548" s="34"/>
      <c r="B548" s="34"/>
      <c r="C548" s="34"/>
      <c r="D548" s="34"/>
      <c r="K548" s="17">
        <f t="shared" ref="K548:K595" si="51">+Q548-M548-O548</f>
        <v>0</v>
      </c>
      <c r="U548" s="17">
        <v>0</v>
      </c>
      <c r="AA548" s="17">
        <f t="shared" si="50"/>
        <v>0</v>
      </c>
      <c r="AC548" s="33">
        <f t="shared" si="49"/>
        <v>0</v>
      </c>
    </row>
    <row r="549" spans="1:29">
      <c r="A549" s="34"/>
      <c r="B549" s="34"/>
      <c r="C549" s="34"/>
      <c r="D549" s="34"/>
      <c r="K549" s="17">
        <f t="shared" si="51"/>
        <v>0</v>
      </c>
      <c r="U549" s="17">
        <f t="shared" ref="U549:U595" si="52">Y549-W549-S549</f>
        <v>0</v>
      </c>
      <c r="AA549" s="17">
        <f t="shared" si="50"/>
        <v>0</v>
      </c>
      <c r="AC549" s="33">
        <f t="shared" si="49"/>
        <v>0</v>
      </c>
    </row>
    <row r="550" spans="1:29">
      <c r="A550" s="34"/>
      <c r="B550" s="34"/>
      <c r="C550" s="34"/>
      <c r="D550" s="34"/>
      <c r="K550" s="17">
        <f t="shared" si="51"/>
        <v>0</v>
      </c>
      <c r="U550" s="17">
        <f t="shared" si="52"/>
        <v>0</v>
      </c>
      <c r="AA550" s="17">
        <f t="shared" si="50"/>
        <v>0</v>
      </c>
      <c r="AC550" s="33">
        <f t="shared" si="49"/>
        <v>0</v>
      </c>
    </row>
    <row r="551" spans="1:29">
      <c r="A551" s="34"/>
      <c r="B551" s="34"/>
      <c r="C551" s="34"/>
      <c r="D551" s="34"/>
      <c r="K551" s="17">
        <f t="shared" si="51"/>
        <v>0</v>
      </c>
      <c r="U551" s="17">
        <f t="shared" si="52"/>
        <v>0</v>
      </c>
      <c r="AA551" s="17">
        <f t="shared" si="50"/>
        <v>0</v>
      </c>
      <c r="AC551" s="33">
        <f t="shared" si="49"/>
        <v>0</v>
      </c>
    </row>
    <row r="552" spans="1:29">
      <c r="A552" s="34"/>
      <c r="B552" s="34"/>
      <c r="C552" s="34"/>
      <c r="D552" s="34"/>
      <c r="K552" s="17">
        <f t="shared" si="51"/>
        <v>0</v>
      </c>
      <c r="U552" s="17">
        <f t="shared" si="52"/>
        <v>0</v>
      </c>
      <c r="AA552" s="17">
        <f t="shared" si="50"/>
        <v>0</v>
      </c>
      <c r="AC552" s="33">
        <f t="shared" si="49"/>
        <v>0</v>
      </c>
    </row>
    <row r="553" spans="1:29">
      <c r="A553" s="34"/>
      <c r="B553" s="34"/>
      <c r="C553" s="34"/>
      <c r="D553" s="34"/>
      <c r="K553" s="17">
        <f t="shared" si="51"/>
        <v>0</v>
      </c>
      <c r="U553" s="17">
        <f t="shared" si="52"/>
        <v>0</v>
      </c>
      <c r="AA553" s="17">
        <f t="shared" si="50"/>
        <v>0</v>
      </c>
      <c r="AC553" s="33">
        <f t="shared" si="49"/>
        <v>0</v>
      </c>
    </row>
    <row r="554" spans="1:29">
      <c r="A554" s="34"/>
      <c r="B554" s="34"/>
      <c r="C554" s="34"/>
      <c r="D554" s="34"/>
      <c r="K554" s="17">
        <f t="shared" si="51"/>
        <v>0</v>
      </c>
      <c r="U554" s="17">
        <f t="shared" si="52"/>
        <v>0</v>
      </c>
      <c r="AA554" s="17">
        <f t="shared" si="50"/>
        <v>0</v>
      </c>
      <c r="AC554" s="33">
        <f t="shared" si="49"/>
        <v>0</v>
      </c>
    </row>
    <row r="555" spans="1:29">
      <c r="A555" s="34"/>
      <c r="B555" s="34"/>
      <c r="C555" s="34"/>
      <c r="D555" s="34"/>
      <c r="K555" s="17">
        <f t="shared" si="51"/>
        <v>0</v>
      </c>
      <c r="U555" s="17">
        <f t="shared" si="52"/>
        <v>0</v>
      </c>
      <c r="AA555" s="17">
        <f t="shared" si="50"/>
        <v>0</v>
      </c>
      <c r="AC555" s="33">
        <f t="shared" si="49"/>
        <v>0</v>
      </c>
    </row>
    <row r="556" spans="1:29">
      <c r="A556" s="34"/>
      <c r="B556" s="34"/>
      <c r="C556" s="34"/>
      <c r="D556" s="34"/>
      <c r="K556" s="17">
        <f t="shared" si="51"/>
        <v>0</v>
      </c>
      <c r="U556" s="17">
        <f t="shared" si="52"/>
        <v>0</v>
      </c>
      <c r="AA556" s="17">
        <f t="shared" si="50"/>
        <v>0</v>
      </c>
      <c r="AC556" s="33">
        <f t="shared" si="49"/>
        <v>0</v>
      </c>
    </row>
    <row r="557" spans="1:29">
      <c r="A557" s="34"/>
      <c r="B557" s="34"/>
      <c r="C557" s="34"/>
      <c r="D557" s="34"/>
      <c r="K557" s="17">
        <f t="shared" si="51"/>
        <v>0</v>
      </c>
      <c r="U557" s="17">
        <f t="shared" si="52"/>
        <v>0</v>
      </c>
      <c r="AA557" s="17">
        <f t="shared" si="50"/>
        <v>0</v>
      </c>
      <c r="AC557" s="33">
        <f t="shared" si="49"/>
        <v>0</v>
      </c>
    </row>
    <row r="558" spans="1:29">
      <c r="A558" s="34"/>
      <c r="B558" s="34"/>
      <c r="C558" s="34"/>
      <c r="D558" s="34"/>
      <c r="K558" s="17">
        <f t="shared" si="51"/>
        <v>0</v>
      </c>
      <c r="U558" s="17">
        <f t="shared" si="52"/>
        <v>0</v>
      </c>
      <c r="AA558" s="17">
        <f t="shared" si="50"/>
        <v>0</v>
      </c>
      <c r="AC558" s="33">
        <f t="shared" si="49"/>
        <v>0</v>
      </c>
    </row>
    <row r="559" spans="1:29">
      <c r="A559" s="34"/>
      <c r="B559" s="34"/>
      <c r="C559" s="34"/>
      <c r="D559" s="34"/>
      <c r="K559" s="17">
        <f t="shared" si="51"/>
        <v>0</v>
      </c>
      <c r="U559" s="17">
        <f t="shared" si="52"/>
        <v>0</v>
      </c>
      <c r="AA559" s="17">
        <f t="shared" si="50"/>
        <v>0</v>
      </c>
      <c r="AC559" s="33">
        <f t="shared" si="49"/>
        <v>0</v>
      </c>
    </row>
    <row r="560" spans="1:29">
      <c r="A560" s="34"/>
      <c r="B560" s="34"/>
      <c r="C560" s="34"/>
      <c r="D560" s="34"/>
      <c r="K560" s="17">
        <f t="shared" si="51"/>
        <v>0</v>
      </c>
      <c r="U560" s="17">
        <f t="shared" si="52"/>
        <v>0</v>
      </c>
      <c r="AA560" s="17">
        <f t="shared" si="50"/>
        <v>0</v>
      </c>
      <c r="AC560" s="33">
        <f t="shared" si="49"/>
        <v>0</v>
      </c>
    </row>
    <row r="561" spans="1:29">
      <c r="A561" s="34"/>
      <c r="B561" s="34"/>
      <c r="C561" s="34"/>
      <c r="D561" s="34"/>
      <c r="K561" s="17">
        <f t="shared" si="51"/>
        <v>0</v>
      </c>
      <c r="U561" s="17">
        <f t="shared" si="52"/>
        <v>0</v>
      </c>
      <c r="AA561" s="17">
        <f t="shared" si="50"/>
        <v>0</v>
      </c>
      <c r="AC561" s="33">
        <f t="shared" si="49"/>
        <v>0</v>
      </c>
    </row>
    <row r="562" spans="1:29">
      <c r="A562" s="30"/>
      <c r="B562" s="30"/>
      <c r="C562" s="30"/>
      <c r="D562" s="30"/>
      <c r="K562" s="17">
        <f t="shared" si="51"/>
        <v>0</v>
      </c>
      <c r="U562" s="17">
        <f t="shared" si="52"/>
        <v>0</v>
      </c>
      <c r="AA562" s="17">
        <f t="shared" si="50"/>
        <v>0</v>
      </c>
      <c r="AC562" s="17">
        <f t="shared" si="49"/>
        <v>0</v>
      </c>
    </row>
    <row r="563" spans="1:29" s="33" customFormat="1">
      <c r="A563" s="31"/>
      <c r="B563" s="31"/>
      <c r="C563" s="31"/>
      <c r="D563" s="31"/>
    </row>
    <row r="564" spans="1:29" s="33" customFormat="1">
      <c r="A564" s="31"/>
      <c r="B564" s="31"/>
      <c r="C564" s="31"/>
      <c r="D564" s="31"/>
    </row>
    <row r="565" spans="1:29" s="33" customFormat="1">
      <c r="A565" s="31"/>
      <c r="B565" s="31"/>
      <c r="C565" s="31"/>
      <c r="D565" s="31"/>
      <c r="K565" s="33">
        <f t="shared" si="51"/>
        <v>0</v>
      </c>
      <c r="U565" s="33">
        <f t="shared" si="52"/>
        <v>0</v>
      </c>
      <c r="AA565" s="33">
        <f t="shared" si="50"/>
        <v>0</v>
      </c>
      <c r="AC565" s="33">
        <f t="shared" si="49"/>
        <v>0</v>
      </c>
    </row>
    <row r="566" spans="1:29">
      <c r="A566" s="34"/>
      <c r="B566" s="34"/>
      <c r="C566" s="34"/>
      <c r="D566" s="34"/>
      <c r="K566" s="17">
        <f t="shared" si="51"/>
        <v>0</v>
      </c>
      <c r="U566" s="17">
        <f t="shared" si="52"/>
        <v>0</v>
      </c>
      <c r="AA566" s="17">
        <f t="shared" si="50"/>
        <v>0</v>
      </c>
      <c r="AC566" s="33">
        <f t="shared" si="49"/>
        <v>0</v>
      </c>
    </row>
    <row r="567" spans="1:29">
      <c r="A567" s="34"/>
      <c r="B567" s="34"/>
      <c r="C567" s="34"/>
      <c r="D567" s="34"/>
      <c r="K567" s="17">
        <f t="shared" si="51"/>
        <v>0</v>
      </c>
      <c r="U567" s="17">
        <f t="shared" si="52"/>
        <v>0</v>
      </c>
      <c r="AA567" s="17">
        <f t="shared" si="50"/>
        <v>0</v>
      </c>
      <c r="AC567" s="33">
        <f t="shared" si="49"/>
        <v>0</v>
      </c>
    </row>
    <row r="568" spans="1:29">
      <c r="A568" s="34"/>
      <c r="B568" s="34"/>
      <c r="C568" s="34"/>
      <c r="D568" s="34"/>
      <c r="K568" s="17">
        <f t="shared" si="51"/>
        <v>0</v>
      </c>
      <c r="U568" s="17">
        <f t="shared" si="52"/>
        <v>0</v>
      </c>
      <c r="AA568" s="17">
        <f t="shared" si="50"/>
        <v>0</v>
      </c>
      <c r="AC568" s="33">
        <f t="shared" si="49"/>
        <v>0</v>
      </c>
    </row>
    <row r="569" spans="1:29">
      <c r="A569" s="30"/>
      <c r="B569" s="30"/>
      <c r="C569" s="30"/>
      <c r="D569" s="30"/>
      <c r="K569" s="17">
        <f t="shared" si="51"/>
        <v>0</v>
      </c>
      <c r="U569" s="17">
        <f t="shared" si="52"/>
        <v>0</v>
      </c>
      <c r="AA569" s="17">
        <f t="shared" si="50"/>
        <v>0</v>
      </c>
      <c r="AC569" s="33">
        <f t="shared" si="49"/>
        <v>0</v>
      </c>
    </row>
    <row r="570" spans="1:29">
      <c r="A570" s="34"/>
      <c r="B570" s="34"/>
      <c r="C570" s="34"/>
      <c r="D570" s="34"/>
      <c r="K570" s="17">
        <f t="shared" si="51"/>
        <v>0</v>
      </c>
      <c r="U570" s="17">
        <f t="shared" si="52"/>
        <v>0</v>
      </c>
      <c r="AA570" s="17">
        <f t="shared" si="50"/>
        <v>0</v>
      </c>
      <c r="AC570" s="33">
        <f t="shared" si="49"/>
        <v>0</v>
      </c>
    </row>
    <row r="571" spans="1:29">
      <c r="A571" s="34"/>
      <c r="B571" s="34"/>
      <c r="C571" s="34"/>
      <c r="D571" s="34"/>
      <c r="K571" s="17">
        <f t="shared" si="51"/>
        <v>0</v>
      </c>
      <c r="U571" s="17">
        <f t="shared" si="52"/>
        <v>0</v>
      </c>
      <c r="AA571" s="17">
        <f t="shared" si="50"/>
        <v>0</v>
      </c>
      <c r="AC571" s="33">
        <f t="shared" si="49"/>
        <v>0</v>
      </c>
    </row>
    <row r="572" spans="1:29">
      <c r="A572" s="30"/>
      <c r="B572" s="30"/>
      <c r="C572" s="30"/>
      <c r="D572" s="30"/>
      <c r="K572" s="17">
        <f t="shared" si="51"/>
        <v>0</v>
      </c>
      <c r="U572" s="17">
        <f t="shared" si="52"/>
        <v>0</v>
      </c>
      <c r="AA572" s="17">
        <f t="shared" si="50"/>
        <v>0</v>
      </c>
      <c r="AC572" s="17">
        <f t="shared" si="49"/>
        <v>0</v>
      </c>
    </row>
    <row r="573" spans="1:29">
      <c r="A573" s="34"/>
      <c r="B573" s="34"/>
      <c r="C573" s="34"/>
      <c r="D573" s="34"/>
      <c r="K573" s="17">
        <f t="shared" si="51"/>
        <v>0</v>
      </c>
      <c r="U573" s="17">
        <f t="shared" si="52"/>
        <v>0</v>
      </c>
      <c r="AA573" s="17">
        <f t="shared" si="50"/>
        <v>0</v>
      </c>
      <c r="AC573" s="33">
        <f t="shared" si="49"/>
        <v>0</v>
      </c>
    </row>
    <row r="574" spans="1:29">
      <c r="A574" s="34"/>
      <c r="B574" s="34"/>
      <c r="C574" s="34"/>
      <c r="D574" s="34"/>
      <c r="K574" s="17">
        <f t="shared" si="51"/>
        <v>0</v>
      </c>
      <c r="U574" s="17">
        <f t="shared" si="52"/>
        <v>0</v>
      </c>
      <c r="AA574" s="17">
        <f t="shared" si="50"/>
        <v>0</v>
      </c>
      <c r="AC574" s="33">
        <f t="shared" si="49"/>
        <v>0</v>
      </c>
    </row>
    <row r="575" spans="1:29">
      <c r="A575" s="34"/>
      <c r="B575" s="34"/>
      <c r="C575" s="34"/>
      <c r="D575" s="34"/>
      <c r="K575" s="17">
        <f t="shared" si="51"/>
        <v>0</v>
      </c>
      <c r="U575" s="17">
        <f t="shared" si="52"/>
        <v>0</v>
      </c>
      <c r="AA575" s="17">
        <f t="shared" si="50"/>
        <v>0</v>
      </c>
      <c r="AC575" s="33">
        <f t="shared" si="49"/>
        <v>0</v>
      </c>
    </row>
    <row r="576" spans="1:29">
      <c r="A576" s="30"/>
      <c r="B576" s="30"/>
      <c r="C576" s="30"/>
      <c r="D576" s="30"/>
      <c r="K576" s="17">
        <f t="shared" si="51"/>
        <v>0</v>
      </c>
      <c r="U576" s="17">
        <f t="shared" si="52"/>
        <v>0</v>
      </c>
      <c r="AA576" s="17">
        <f>+I576-Q576-Y576</f>
        <v>0</v>
      </c>
      <c r="AC576" s="17">
        <f t="shared" si="49"/>
        <v>0</v>
      </c>
    </row>
    <row r="577" spans="1:29">
      <c r="A577" s="34"/>
      <c r="B577" s="34"/>
      <c r="C577" s="34"/>
      <c r="D577" s="34"/>
      <c r="K577" s="17">
        <f t="shared" si="51"/>
        <v>0</v>
      </c>
      <c r="U577" s="17">
        <f t="shared" si="52"/>
        <v>0</v>
      </c>
      <c r="AA577" s="17">
        <f>+I577-Q577-Y577</f>
        <v>0</v>
      </c>
      <c r="AC577" s="33">
        <f t="shared" si="49"/>
        <v>0</v>
      </c>
    </row>
    <row r="578" spans="1:29">
      <c r="A578" s="34"/>
      <c r="B578" s="34"/>
      <c r="C578" s="34"/>
      <c r="D578" s="34"/>
      <c r="K578" s="17">
        <f t="shared" si="51"/>
        <v>0</v>
      </c>
      <c r="U578" s="17">
        <f t="shared" si="52"/>
        <v>0</v>
      </c>
      <c r="AA578" s="17">
        <f t="shared" si="50"/>
        <v>0</v>
      </c>
      <c r="AC578" s="33">
        <f t="shared" si="49"/>
        <v>0</v>
      </c>
    </row>
    <row r="579" spans="1:29">
      <c r="A579" s="34"/>
      <c r="B579" s="34"/>
      <c r="C579" s="34"/>
      <c r="D579" s="34"/>
      <c r="K579" s="17">
        <f t="shared" si="51"/>
        <v>0</v>
      </c>
      <c r="U579" s="17">
        <f t="shared" si="52"/>
        <v>0</v>
      </c>
      <c r="AA579" s="17">
        <f t="shared" si="50"/>
        <v>0</v>
      </c>
      <c r="AC579" s="33">
        <f t="shared" si="49"/>
        <v>0</v>
      </c>
    </row>
    <row r="580" spans="1:29">
      <c r="A580" s="34"/>
      <c r="B580" s="34"/>
      <c r="C580" s="34"/>
      <c r="D580" s="34"/>
      <c r="K580" s="17">
        <f t="shared" si="51"/>
        <v>0</v>
      </c>
      <c r="U580" s="17">
        <f t="shared" si="52"/>
        <v>0</v>
      </c>
      <c r="AA580" s="17">
        <f t="shared" si="50"/>
        <v>0</v>
      </c>
      <c r="AC580" s="33">
        <f t="shared" si="49"/>
        <v>0</v>
      </c>
    </row>
    <row r="581" spans="1:29">
      <c r="A581" s="34"/>
      <c r="B581" s="34"/>
      <c r="C581" s="34"/>
      <c r="D581" s="34"/>
      <c r="K581" s="17">
        <f t="shared" si="51"/>
        <v>0</v>
      </c>
      <c r="U581" s="17">
        <f t="shared" si="52"/>
        <v>0</v>
      </c>
      <c r="AA581" s="17">
        <f t="shared" si="50"/>
        <v>0</v>
      </c>
      <c r="AC581" s="33">
        <f t="shared" si="49"/>
        <v>0</v>
      </c>
    </row>
    <row r="582" spans="1:29">
      <c r="A582" s="34"/>
      <c r="B582" s="34"/>
      <c r="C582" s="34"/>
      <c r="D582" s="34"/>
      <c r="K582" s="17">
        <f t="shared" si="51"/>
        <v>0</v>
      </c>
      <c r="U582" s="17">
        <f t="shared" si="52"/>
        <v>0</v>
      </c>
      <c r="AA582" s="17">
        <f t="shared" si="50"/>
        <v>0</v>
      </c>
      <c r="AC582" s="33">
        <f t="shared" si="49"/>
        <v>0</v>
      </c>
    </row>
    <row r="583" spans="1:29">
      <c r="A583" s="34"/>
      <c r="B583" s="34"/>
      <c r="C583" s="34"/>
      <c r="D583" s="34"/>
      <c r="K583" s="17">
        <f t="shared" si="51"/>
        <v>0</v>
      </c>
      <c r="U583" s="17">
        <f t="shared" si="52"/>
        <v>0</v>
      </c>
      <c r="AA583" s="17">
        <f t="shared" si="50"/>
        <v>0</v>
      </c>
      <c r="AC583" s="33">
        <f t="shared" si="49"/>
        <v>0</v>
      </c>
    </row>
    <row r="584" spans="1:29">
      <c r="A584" s="34"/>
      <c r="B584" s="34"/>
      <c r="C584" s="34"/>
      <c r="D584" s="34"/>
      <c r="K584" s="17">
        <f t="shared" si="51"/>
        <v>0</v>
      </c>
      <c r="U584" s="17">
        <f t="shared" si="52"/>
        <v>0</v>
      </c>
      <c r="AA584" s="17">
        <f t="shared" si="50"/>
        <v>0</v>
      </c>
      <c r="AC584" s="33">
        <f t="shared" si="49"/>
        <v>0</v>
      </c>
    </row>
    <row r="585" spans="1:29">
      <c r="A585" s="34"/>
      <c r="B585" s="34"/>
      <c r="C585" s="34"/>
      <c r="D585" s="34"/>
      <c r="K585" s="17">
        <f t="shared" si="51"/>
        <v>0</v>
      </c>
      <c r="U585" s="17">
        <f t="shared" si="52"/>
        <v>0</v>
      </c>
      <c r="AA585" s="17">
        <f t="shared" si="50"/>
        <v>0</v>
      </c>
      <c r="AC585" s="33">
        <f t="shared" si="49"/>
        <v>0</v>
      </c>
    </row>
    <row r="586" spans="1:29">
      <c r="A586" s="34"/>
      <c r="B586" s="34"/>
      <c r="C586" s="34"/>
      <c r="D586" s="34"/>
      <c r="K586" s="17">
        <f t="shared" si="51"/>
        <v>0</v>
      </c>
      <c r="U586" s="17">
        <f t="shared" si="52"/>
        <v>0</v>
      </c>
      <c r="AA586" s="17">
        <f t="shared" si="50"/>
        <v>0</v>
      </c>
      <c r="AC586" s="33">
        <f t="shared" si="49"/>
        <v>0</v>
      </c>
    </row>
    <row r="587" spans="1:29">
      <c r="A587" s="34"/>
      <c r="B587" s="34"/>
      <c r="C587" s="34"/>
      <c r="D587" s="34"/>
      <c r="K587" s="17">
        <f t="shared" si="51"/>
        <v>0</v>
      </c>
      <c r="U587" s="17">
        <f t="shared" si="52"/>
        <v>0</v>
      </c>
      <c r="AA587" s="17">
        <f t="shared" si="50"/>
        <v>0</v>
      </c>
      <c r="AC587" s="33">
        <f t="shared" si="49"/>
        <v>0</v>
      </c>
    </row>
    <row r="588" spans="1:29">
      <c r="A588" s="34"/>
      <c r="B588" s="34"/>
      <c r="C588" s="34"/>
      <c r="D588" s="34"/>
      <c r="K588" s="17">
        <f t="shared" si="51"/>
        <v>0</v>
      </c>
      <c r="U588" s="17">
        <f t="shared" si="52"/>
        <v>0</v>
      </c>
      <c r="AA588" s="17">
        <f t="shared" si="50"/>
        <v>0</v>
      </c>
      <c r="AC588" s="33">
        <f t="shared" si="49"/>
        <v>0</v>
      </c>
    </row>
    <row r="589" spans="1:29">
      <c r="A589" s="34"/>
      <c r="B589" s="34"/>
      <c r="C589" s="34"/>
      <c r="D589" s="34"/>
      <c r="K589" s="17">
        <f t="shared" si="51"/>
        <v>0</v>
      </c>
      <c r="U589" s="17">
        <f t="shared" si="52"/>
        <v>0</v>
      </c>
      <c r="AA589" s="17">
        <f t="shared" si="50"/>
        <v>0</v>
      </c>
      <c r="AC589" s="33">
        <f t="shared" si="49"/>
        <v>0</v>
      </c>
    </row>
    <row r="590" spans="1:29">
      <c r="A590" s="34"/>
      <c r="B590" s="34"/>
      <c r="C590" s="34"/>
      <c r="D590" s="34"/>
      <c r="K590" s="17">
        <f t="shared" si="51"/>
        <v>0</v>
      </c>
      <c r="U590" s="17">
        <f t="shared" si="52"/>
        <v>0</v>
      </c>
      <c r="AA590" s="17">
        <f t="shared" si="50"/>
        <v>0</v>
      </c>
      <c r="AC590" s="33">
        <f t="shared" si="49"/>
        <v>0</v>
      </c>
    </row>
    <row r="591" spans="1:29">
      <c r="A591" s="34"/>
      <c r="B591" s="34"/>
      <c r="C591" s="34"/>
      <c r="D591" s="34"/>
      <c r="K591" s="17">
        <f t="shared" si="51"/>
        <v>0</v>
      </c>
      <c r="U591" s="17">
        <f t="shared" si="52"/>
        <v>0</v>
      </c>
      <c r="AA591" s="17">
        <f t="shared" si="50"/>
        <v>0</v>
      </c>
      <c r="AC591" s="33">
        <f t="shared" si="49"/>
        <v>0</v>
      </c>
    </row>
    <row r="592" spans="1:29">
      <c r="A592" s="34"/>
      <c r="B592" s="34"/>
      <c r="C592" s="34"/>
      <c r="D592" s="34"/>
      <c r="K592" s="17">
        <f t="shared" si="51"/>
        <v>0</v>
      </c>
      <c r="U592" s="17">
        <f t="shared" si="52"/>
        <v>0</v>
      </c>
      <c r="AA592" s="17">
        <f t="shared" si="50"/>
        <v>0</v>
      </c>
      <c r="AC592" s="33">
        <f t="shared" si="49"/>
        <v>0</v>
      </c>
    </row>
    <row r="593" spans="1:29">
      <c r="A593" s="34"/>
      <c r="B593" s="34"/>
      <c r="C593" s="34"/>
      <c r="D593" s="34"/>
      <c r="K593" s="17">
        <f t="shared" si="51"/>
        <v>0</v>
      </c>
      <c r="U593" s="17">
        <f t="shared" si="52"/>
        <v>0</v>
      </c>
      <c r="AA593" s="17">
        <f t="shared" si="50"/>
        <v>0</v>
      </c>
      <c r="AC593" s="33">
        <f>+E593+G593+-K593-M593-S593-U593-W593-O593</f>
        <v>0</v>
      </c>
    </row>
    <row r="594" spans="1:29">
      <c r="A594" s="34"/>
      <c r="B594" s="34"/>
      <c r="C594" s="34"/>
      <c r="D594" s="34"/>
      <c r="K594" s="17">
        <f t="shared" si="51"/>
        <v>0</v>
      </c>
      <c r="U594" s="17">
        <f t="shared" si="52"/>
        <v>0</v>
      </c>
      <c r="AA594" s="17">
        <f t="shared" si="50"/>
        <v>0</v>
      </c>
      <c r="AC594" s="33">
        <f>+E594+G594+-K594-M594-S594-U594-W594-O594</f>
        <v>0</v>
      </c>
    </row>
    <row r="595" spans="1:29">
      <c r="A595" s="34"/>
      <c r="B595" s="34"/>
      <c r="C595" s="34"/>
      <c r="D595" s="34"/>
      <c r="K595" s="17">
        <f t="shared" si="51"/>
        <v>0</v>
      </c>
      <c r="U595" s="17">
        <f t="shared" si="52"/>
        <v>0</v>
      </c>
      <c r="AA595" s="17">
        <f t="shared" si="50"/>
        <v>0</v>
      </c>
      <c r="AC595" s="33">
        <f>+E595+G595+-K595-M595-S595-U595-W595-O595</f>
        <v>0</v>
      </c>
    </row>
    <row r="597" spans="1:29">
      <c r="A597" s="17" t="s">
        <v>538</v>
      </c>
    </row>
    <row r="598" spans="1:29">
      <c r="A598" s="84" t="s">
        <v>539</v>
      </c>
      <c r="B598" s="84"/>
      <c r="C598" s="84"/>
      <c r="D598" s="84"/>
      <c r="E598" s="84"/>
      <c r="F598" s="84"/>
      <c r="G598" s="84"/>
      <c r="H598" s="84"/>
      <c r="I598" s="84"/>
    </row>
  </sheetData>
  <mergeCells count="5">
    <mergeCell ref="A1:G1"/>
    <mergeCell ref="E7:H7"/>
    <mergeCell ref="K7:M7"/>
    <mergeCell ref="S7:W7"/>
    <mergeCell ref="A598:I59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Stm. of Activities</vt:lpstr>
      <vt:lpstr>Gen Rev</vt:lpstr>
      <vt:lpstr>Gen Exp</vt:lpstr>
      <vt:lpstr>Gov Rev</vt:lpstr>
      <vt:lpstr>Gov Exp</vt:lpstr>
      <vt:lpstr>Stm. of Net Assets</vt:lpstr>
      <vt:lpstr>'Gen Exp'!Print_Area</vt:lpstr>
      <vt:lpstr>'Gen Rev'!Print_Area</vt:lpstr>
      <vt:lpstr>'Gov Exp'!Print_Area</vt:lpstr>
      <vt:lpstr>'Gov Rev'!Print_Area</vt:lpstr>
      <vt:lpstr>'Stm. of Activities'!Print_Area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O. Myser</dc:creator>
  <cp:lastModifiedBy>Samuel P. Kraly</cp:lastModifiedBy>
  <cp:lastPrinted>2012-08-23T17:26:40Z</cp:lastPrinted>
  <dcterms:created xsi:type="dcterms:W3CDTF">2007-01-22T17:20:47Z</dcterms:created>
  <dcterms:modified xsi:type="dcterms:W3CDTF">2012-08-23T17:26:56Z</dcterms:modified>
</cp:coreProperties>
</file>